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OR\Intern\Økonomisektion D\22 Sundhedsteknologi\Projekter\13551+13544+13545 - BioF - Sanne Gram-Nielsen\"/>
    </mc:Choice>
  </mc:AlternateContent>
  <bookViews>
    <workbookView xWindow="0" yWindow="90" windowWidth="22980" windowHeight="8970" activeTab="2"/>
  </bookViews>
  <sheets>
    <sheet name="Prisblad materiale" sheetId="8" r:id="rId1"/>
    <sheet name="Projekter" sheetId="9" r:id="rId2"/>
    <sheet name="Aftale Input" sheetId="1" r:id="rId3"/>
    <sheet name="udskriv PDF" sheetId="4" r:id="rId4"/>
    <sheet name="Basis oplysn." sheetId="6" r:id="rId5"/>
  </sheets>
  <definedNames>
    <definedName name="_xlnm.Print_Area" localSheetId="2">'Aftale Input'!$A$1:$J$108</definedName>
    <definedName name="_xlnm.Print_Area" localSheetId="3">'udskriv PDF'!$A$1:$H$96</definedName>
  </definedNames>
  <calcPr calcId="162913"/>
</workbook>
</file>

<file path=xl/calcChain.xml><?xml version="1.0" encoding="utf-8"?>
<calcChain xmlns="http://schemas.openxmlformats.org/spreadsheetml/2006/main">
  <c r="J93" i="1" l="1"/>
  <c r="J92" i="1"/>
  <c r="J91" i="1"/>
  <c r="J90" i="1"/>
  <c r="D19" i="1"/>
  <c r="D20" i="1"/>
  <c r="I20" i="6" l="1"/>
  <c r="I19" i="6"/>
  <c r="I18" i="6"/>
  <c r="I17" i="6"/>
  <c r="I16" i="6"/>
  <c r="K6" i="6"/>
  <c r="J4" i="6"/>
  <c r="J5" i="6"/>
  <c r="J6" i="6"/>
  <c r="J7" i="6"/>
  <c r="J8" i="6"/>
  <c r="J3" i="6"/>
  <c r="I6" i="6"/>
  <c r="E6" i="6"/>
  <c r="E5" i="6"/>
  <c r="K8" i="6"/>
  <c r="I8" i="6"/>
  <c r="D21" i="1" l="1"/>
  <c r="I23" i="1"/>
  <c r="D22" i="1"/>
  <c r="D23" i="1"/>
  <c r="D24" i="1"/>
  <c r="D25" i="1"/>
  <c r="D26" i="1"/>
  <c r="D27" i="1"/>
  <c r="D28" i="1"/>
  <c r="D29" i="1"/>
  <c r="D18" i="1"/>
  <c r="J23" i="1" l="1"/>
  <c r="I18" i="1"/>
  <c r="J18" i="1" s="1"/>
  <c r="I7" i="6"/>
  <c r="I5" i="6"/>
  <c r="I4" i="6"/>
  <c r="I3" i="6"/>
  <c r="K7" i="6"/>
  <c r="K5" i="6"/>
  <c r="K4" i="6"/>
  <c r="K3" i="6"/>
  <c r="A52" i="4"/>
  <c r="E52" i="4"/>
  <c r="F52" i="4"/>
  <c r="A53" i="4"/>
  <c r="E53" i="4"/>
  <c r="F53" i="4"/>
  <c r="G53" i="4"/>
  <c r="A54" i="4"/>
  <c r="E54" i="4"/>
  <c r="F54" i="4"/>
  <c r="A55" i="4"/>
  <c r="E55" i="4"/>
  <c r="F55" i="4"/>
  <c r="I54" i="1"/>
  <c r="G54" i="4" l="1"/>
  <c r="A51" i="4" l="1"/>
  <c r="E51" i="4"/>
  <c r="F51" i="4"/>
  <c r="I55" i="1"/>
  <c r="G55" i="4" s="1"/>
  <c r="I44" i="1" l="1"/>
  <c r="A69" i="4" l="1"/>
  <c r="E69" i="4"/>
  <c r="F69" i="4"/>
  <c r="I70" i="1"/>
  <c r="I69" i="1"/>
  <c r="G69" i="4" s="1"/>
  <c r="A70" i="4" l="1"/>
  <c r="E70" i="4"/>
  <c r="F70" i="4"/>
  <c r="G70" i="4"/>
  <c r="A71" i="4"/>
  <c r="E71" i="4"/>
  <c r="F71" i="4"/>
  <c r="I72" i="1" l="1"/>
  <c r="G73" i="4" s="1"/>
  <c r="I73" i="1"/>
  <c r="G74" i="4" s="1"/>
  <c r="I74" i="1"/>
  <c r="G75" i="4" s="1"/>
  <c r="I75" i="1"/>
  <c r="G76" i="4" s="1"/>
  <c r="I76" i="1"/>
  <c r="G77" i="4" s="1"/>
  <c r="A72" i="4"/>
  <c r="E72" i="4"/>
  <c r="F72" i="4"/>
  <c r="G72" i="4"/>
  <c r="A73" i="4"/>
  <c r="E73" i="4"/>
  <c r="F73" i="4"/>
  <c r="A74" i="4"/>
  <c r="E74" i="4"/>
  <c r="F74" i="4"/>
  <c r="A75" i="4"/>
  <c r="E75" i="4"/>
  <c r="F75" i="4"/>
  <c r="A76" i="4"/>
  <c r="E76" i="4"/>
  <c r="F76" i="4"/>
  <c r="A77" i="4"/>
  <c r="E77" i="4"/>
  <c r="F77" i="4"/>
  <c r="A78" i="4"/>
  <c r="E78" i="4"/>
  <c r="F78" i="4"/>
  <c r="G78" i="4"/>
  <c r="I52" i="1" l="1"/>
  <c r="G52" i="4" s="1"/>
  <c r="J17" i="6" l="1"/>
  <c r="D4" i="6" l="1"/>
  <c r="E4" i="6" l="1"/>
  <c r="J13" i="1"/>
  <c r="J52" i="1" s="1"/>
  <c r="H52" i="4" s="1"/>
  <c r="C4" i="6"/>
  <c r="H30" i="1"/>
  <c r="G30" i="1"/>
  <c r="I34" i="1" l="1"/>
  <c r="J34" i="1" s="1"/>
  <c r="I33" i="1"/>
  <c r="J33" i="1" s="1"/>
  <c r="F90" i="4" l="1"/>
  <c r="G90" i="4" s="1"/>
  <c r="F89" i="4"/>
  <c r="G89" i="4" s="1"/>
  <c r="F88" i="4"/>
  <c r="G88" i="4" s="1"/>
  <c r="F87" i="4"/>
  <c r="G87" i="4" s="1"/>
  <c r="F86" i="4"/>
  <c r="H86" i="4"/>
  <c r="G86" i="4"/>
  <c r="I37" i="1"/>
  <c r="J37" i="1"/>
  <c r="J36" i="1"/>
  <c r="I36" i="1"/>
  <c r="D3" i="6"/>
  <c r="I19" i="1"/>
  <c r="J19" i="1" s="1"/>
  <c r="I20" i="1"/>
  <c r="J20" i="1" s="1"/>
  <c r="I21" i="1"/>
  <c r="J21" i="1" s="1"/>
  <c r="I22" i="1"/>
  <c r="J22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C3" i="6" l="1"/>
  <c r="J12" i="1"/>
  <c r="E3" i="6"/>
  <c r="G43" i="4"/>
  <c r="G44" i="4"/>
  <c r="G47" i="4"/>
  <c r="G48" i="4"/>
  <c r="G49" i="4"/>
  <c r="G56" i="4"/>
  <c r="G57" i="4"/>
  <c r="G58" i="4"/>
  <c r="G59" i="4"/>
  <c r="G79" i="4"/>
  <c r="G80" i="4"/>
  <c r="G81" i="4"/>
  <c r="G82" i="4"/>
  <c r="G83" i="4"/>
  <c r="G42" i="4"/>
  <c r="E45" i="4"/>
  <c r="E46" i="4"/>
  <c r="E47" i="4"/>
  <c r="E48" i="4"/>
  <c r="E49" i="4"/>
  <c r="E50" i="4"/>
  <c r="E56" i="4"/>
  <c r="E57" i="4"/>
  <c r="E58" i="4"/>
  <c r="E59" i="4"/>
  <c r="E60" i="4"/>
  <c r="E61" i="4"/>
  <c r="E62" i="4"/>
  <c r="E63" i="4"/>
  <c r="E64" i="4"/>
  <c r="E65" i="4"/>
  <c r="F42" i="4"/>
  <c r="F43" i="4"/>
  <c r="F44" i="4"/>
  <c r="F46" i="4"/>
  <c r="F47" i="4"/>
  <c r="F48" i="4"/>
  <c r="H48" i="4"/>
  <c r="F49" i="4"/>
  <c r="H49" i="4"/>
  <c r="F50" i="4"/>
  <c r="F56" i="4"/>
  <c r="H56" i="4"/>
  <c r="F57" i="4"/>
  <c r="H57" i="4"/>
  <c r="F58" i="4"/>
  <c r="F59" i="4"/>
  <c r="F60" i="4"/>
  <c r="F61" i="4"/>
  <c r="F62" i="4"/>
  <c r="F63" i="4"/>
  <c r="F64" i="4"/>
  <c r="F65" i="4"/>
  <c r="F66" i="4"/>
  <c r="F67" i="4"/>
  <c r="F68" i="4"/>
  <c r="F79" i="4"/>
  <c r="F80" i="4"/>
  <c r="F81" i="4"/>
  <c r="F82" i="4"/>
  <c r="F83" i="4"/>
  <c r="G41" i="4"/>
  <c r="H41" i="4"/>
  <c r="F41" i="4"/>
  <c r="E42" i="4"/>
  <c r="E43" i="4"/>
  <c r="E44" i="4"/>
  <c r="E66" i="4"/>
  <c r="E67" i="4"/>
  <c r="E68" i="4"/>
  <c r="E79" i="4"/>
  <c r="E80" i="4"/>
  <c r="E81" i="4"/>
  <c r="E82" i="4"/>
  <c r="E83" i="4"/>
  <c r="E41" i="4"/>
  <c r="J55" i="1" l="1"/>
  <c r="H55" i="4" s="1"/>
  <c r="J82" i="1"/>
  <c r="J73" i="1"/>
  <c r="H74" i="4" s="1"/>
  <c r="J72" i="1"/>
  <c r="J69" i="1"/>
  <c r="H69" i="4" s="1"/>
  <c r="J74" i="1"/>
  <c r="H75" i="4" s="1"/>
  <c r="J70" i="1"/>
  <c r="H70" i="4" s="1"/>
  <c r="J54" i="1"/>
  <c r="H54" i="4" s="1"/>
  <c r="J75" i="1"/>
  <c r="H76" i="4" s="1"/>
  <c r="J76" i="1"/>
  <c r="H77" i="4" s="1"/>
  <c r="H37" i="1"/>
  <c r="H36" i="1"/>
  <c r="A19" i="4"/>
  <c r="A20" i="4"/>
  <c r="A21" i="4"/>
  <c r="A22" i="4"/>
  <c r="A23" i="4"/>
  <c r="A24" i="4"/>
  <c r="A25" i="4"/>
  <c r="A26" i="4"/>
  <c r="A27" i="4"/>
  <c r="A28" i="4"/>
  <c r="A29" i="4"/>
  <c r="A18" i="4"/>
  <c r="A66" i="4"/>
  <c r="A67" i="4"/>
  <c r="A68" i="4"/>
  <c r="A79" i="4"/>
  <c r="A80" i="4"/>
  <c r="A81" i="4"/>
  <c r="A82" i="4"/>
  <c r="A83" i="4"/>
  <c r="A42" i="4"/>
  <c r="A43" i="4"/>
  <c r="A44" i="4"/>
  <c r="A45" i="4"/>
  <c r="A46" i="4"/>
  <c r="A47" i="4"/>
  <c r="A48" i="4"/>
  <c r="A49" i="4"/>
  <c r="A50" i="4"/>
  <c r="A56" i="4"/>
  <c r="A57" i="4"/>
  <c r="A58" i="4"/>
  <c r="A59" i="4"/>
  <c r="A60" i="4"/>
  <c r="A61" i="4"/>
  <c r="A62" i="4"/>
  <c r="A63" i="4"/>
  <c r="A64" i="4"/>
  <c r="A65" i="4"/>
  <c r="A41" i="4"/>
  <c r="G35" i="4"/>
  <c r="F35" i="4"/>
  <c r="E35" i="4"/>
  <c r="I50" i="1"/>
  <c r="G50" i="4" s="1"/>
  <c r="I61" i="1"/>
  <c r="G61" i="4" s="1"/>
  <c r="I62" i="1"/>
  <c r="G62" i="4" s="1"/>
  <c r="I63" i="1"/>
  <c r="G63" i="4" s="1"/>
  <c r="I64" i="1"/>
  <c r="G64" i="4" s="1"/>
  <c r="I65" i="1"/>
  <c r="G65" i="4" s="1"/>
  <c r="I66" i="1"/>
  <c r="G66" i="4" s="1"/>
  <c r="I67" i="1"/>
  <c r="G67" i="4" s="1"/>
  <c r="I68" i="1"/>
  <c r="G68" i="4" s="1"/>
  <c r="I71" i="1"/>
  <c r="G71" i="4" s="1"/>
  <c r="H36" i="4" l="1"/>
  <c r="J18" i="6" l="1"/>
  <c r="K18" i="6" s="1"/>
  <c r="K17" i="6"/>
  <c r="H82" i="4" l="1"/>
  <c r="J59" i="1"/>
  <c r="H59" i="4" s="1"/>
  <c r="J58" i="1"/>
  <c r="H58" i="4" s="1"/>
  <c r="I60" i="1" l="1"/>
  <c r="G60" i="4" s="1"/>
  <c r="I46" i="1"/>
  <c r="G46" i="4" s="1"/>
  <c r="A87" i="4"/>
  <c r="A88" i="4"/>
  <c r="A89" i="4"/>
  <c r="A90" i="4"/>
  <c r="A86" i="4"/>
  <c r="J60" i="1" l="1"/>
  <c r="H60" i="4" s="1"/>
  <c r="J68" i="1"/>
  <c r="H68" i="4" s="1"/>
  <c r="J71" i="1"/>
  <c r="H71" i="4" s="1"/>
  <c r="H73" i="4"/>
  <c r="J42" i="1"/>
  <c r="H42" i="4" s="1"/>
  <c r="J61" i="1"/>
  <c r="H61" i="4" s="1"/>
  <c r="J66" i="1"/>
  <c r="H66" i="4" s="1"/>
  <c r="J106" i="1"/>
  <c r="A34" i="4"/>
  <c r="A36" i="4"/>
  <c r="A37" i="4"/>
  <c r="A33" i="4"/>
  <c r="I51" i="1" l="1"/>
  <c r="G51" i="4" s="1"/>
  <c r="E34" i="4" l="1"/>
  <c r="D34" i="4" s="1"/>
  <c r="F34" i="4"/>
  <c r="D36" i="4"/>
  <c r="E36" i="4"/>
  <c r="F36" i="4"/>
  <c r="D37" i="4"/>
  <c r="E37" i="4"/>
  <c r="F37" i="4"/>
  <c r="F33" i="4"/>
  <c r="E33" i="4"/>
  <c r="D33" i="4" s="1"/>
  <c r="E32" i="4"/>
  <c r="F32" i="4"/>
  <c r="G32" i="4"/>
  <c r="J88" i="1"/>
  <c r="J89" i="1"/>
  <c r="H89" i="4" s="1"/>
  <c r="J94" i="1"/>
  <c r="H90" i="4" s="1"/>
  <c r="H88" i="4" l="1"/>
  <c r="G33" i="4"/>
  <c r="G34" i="4"/>
  <c r="G36" i="4"/>
  <c r="J87" i="1"/>
  <c r="F45" i="4"/>
  <c r="G37" i="4"/>
  <c r="J104" i="1" l="1"/>
  <c r="E7" i="4" s="1"/>
  <c r="H87" i="4"/>
  <c r="H91" i="4" s="1"/>
  <c r="I45" i="1"/>
  <c r="B19" i="4"/>
  <c r="B20" i="4"/>
  <c r="B21" i="4"/>
  <c r="B22" i="4"/>
  <c r="B23" i="4"/>
  <c r="B24" i="4"/>
  <c r="B25" i="4"/>
  <c r="B26" i="4"/>
  <c r="B27" i="4"/>
  <c r="B28" i="4"/>
  <c r="B29" i="4"/>
  <c r="B18" i="4"/>
  <c r="I103" i="1" l="1"/>
  <c r="I84" i="1"/>
  <c r="G45" i="4"/>
  <c r="A95" i="4"/>
  <c r="H95" i="4"/>
  <c r="H94" i="4"/>
  <c r="A94" i="4"/>
  <c r="A11" i="4" l="1"/>
  <c r="E9" i="4"/>
  <c r="E19" i="4"/>
  <c r="D19" i="4" s="1"/>
  <c r="F19" i="4"/>
  <c r="E20" i="4"/>
  <c r="D20" i="4" s="1"/>
  <c r="F20" i="4"/>
  <c r="E21" i="4"/>
  <c r="D21" i="4" s="1"/>
  <c r="F21" i="4"/>
  <c r="E22" i="4"/>
  <c r="D22" i="4" s="1"/>
  <c r="F22" i="4"/>
  <c r="E23" i="4"/>
  <c r="D23" i="4" s="1"/>
  <c r="F23" i="4"/>
  <c r="E24" i="4"/>
  <c r="D24" i="4" s="1"/>
  <c r="F24" i="4"/>
  <c r="E25" i="4"/>
  <c r="D25" i="4" s="1"/>
  <c r="F25" i="4"/>
  <c r="E26" i="4"/>
  <c r="D26" i="4" s="1"/>
  <c r="F26" i="4"/>
  <c r="E27" i="4"/>
  <c r="D27" i="4" s="1"/>
  <c r="F27" i="4"/>
  <c r="E28" i="4"/>
  <c r="D28" i="4" s="1"/>
  <c r="F28" i="4"/>
  <c r="E29" i="4"/>
  <c r="D29" i="4" s="1"/>
  <c r="F29" i="4"/>
  <c r="F18" i="4"/>
  <c r="E18" i="4"/>
  <c r="D18" i="4" s="1"/>
  <c r="G17" i="4"/>
  <c r="F17" i="4"/>
  <c r="E17" i="4"/>
  <c r="C2" i="4"/>
  <c r="C3" i="4"/>
  <c r="C1" i="4"/>
  <c r="D30" i="4" l="1"/>
  <c r="J67" i="1"/>
  <c r="H67" i="4" s="1"/>
  <c r="J78" i="1"/>
  <c r="H78" i="4" s="1"/>
  <c r="J64" i="1"/>
  <c r="H64" i="4" s="1"/>
  <c r="J81" i="1"/>
  <c r="H81" i="4" s="1"/>
  <c r="J83" i="1"/>
  <c r="H83" i="4" s="1"/>
  <c r="J65" i="1"/>
  <c r="H65" i="4" s="1"/>
  <c r="J77" i="1"/>
  <c r="H72" i="4" s="1"/>
  <c r="J79" i="1"/>
  <c r="H79" i="4" s="1"/>
  <c r="J80" i="1"/>
  <c r="H80" i="4" s="1"/>
  <c r="J51" i="1"/>
  <c r="H51" i="4" s="1"/>
  <c r="J53" i="1"/>
  <c r="H53" i="4" s="1"/>
  <c r="G24" i="4"/>
  <c r="J44" i="1" l="1"/>
  <c r="H44" i="4" s="1"/>
  <c r="J47" i="1"/>
  <c r="H47" i="4" s="1"/>
  <c r="J46" i="1"/>
  <c r="H46" i="4" s="1"/>
  <c r="J45" i="1"/>
  <c r="H45" i="4" s="1"/>
  <c r="J43" i="1"/>
  <c r="H43" i="4" s="1"/>
  <c r="J63" i="1"/>
  <c r="H63" i="4" s="1"/>
  <c r="J62" i="1"/>
  <c r="H62" i="4" s="1"/>
  <c r="G21" i="4"/>
  <c r="G22" i="4"/>
  <c r="G23" i="4"/>
  <c r="G25" i="4"/>
  <c r="G26" i="4"/>
  <c r="G27" i="4"/>
  <c r="G28" i="4"/>
  <c r="G29" i="4"/>
  <c r="G19" i="4"/>
  <c r="G18" i="4" l="1"/>
  <c r="G20" i="4"/>
  <c r="I30" i="1"/>
  <c r="G30" i="4" l="1"/>
  <c r="J50" i="1"/>
  <c r="H50" i="4" s="1"/>
  <c r="H84" i="4" l="1"/>
  <c r="J103" i="1"/>
  <c r="E6" i="4" s="1"/>
  <c r="E13" i="8" l="1"/>
  <c r="E12" i="8"/>
  <c r="H33" i="4"/>
  <c r="D12" i="8"/>
  <c r="D14" i="8"/>
  <c r="D13" i="8" l="1"/>
  <c r="H34" i="4"/>
  <c r="H37" i="4"/>
  <c r="H38" i="4" l="1"/>
  <c r="J105" i="1"/>
  <c r="E8" i="4" s="1"/>
  <c r="D15" i="8"/>
  <c r="E7" i="8" l="1"/>
  <c r="E5" i="8"/>
  <c r="E8" i="8"/>
  <c r="E4" i="8"/>
  <c r="E6" i="8"/>
  <c r="D4" i="8" l="1"/>
  <c r="D6" i="8"/>
  <c r="D8" i="8"/>
  <c r="D7" i="8"/>
  <c r="D5" i="8"/>
  <c r="H26" i="4" l="1"/>
  <c r="H19" i="4"/>
  <c r="H23" i="4"/>
  <c r="H20" i="4"/>
  <c r="H24" i="4"/>
  <c r="H28" i="4"/>
  <c r="H25" i="4"/>
  <c r="H29" i="4"/>
  <c r="H18" i="4"/>
  <c r="H21" i="4"/>
  <c r="H22" i="4"/>
  <c r="H27" i="4"/>
  <c r="H30" i="4" l="1"/>
  <c r="J102" i="1"/>
  <c r="E5" i="4" l="1"/>
  <c r="E10" i="4" s="1"/>
  <c r="J101" i="1"/>
</calcChain>
</file>

<file path=xl/comments1.xml><?xml version="1.0" encoding="utf-8"?>
<comments xmlns="http://schemas.openxmlformats.org/spreadsheetml/2006/main">
  <authors>
    <author>Jane Skaftved Mathiesen</author>
  </authors>
  <commentList>
    <comment ref="G44" authorId="0" shapeId="0">
      <text>
        <r>
          <rPr>
            <b/>
            <sz val="9"/>
            <color indexed="81"/>
            <rFont val="Tahoma"/>
            <family val="2"/>
          </rPr>
          <t>Jane Skaftved Mathiesen:</t>
        </r>
        <r>
          <rPr>
            <sz val="9"/>
            <color indexed="81"/>
            <rFont val="Tahoma"/>
            <family val="2"/>
          </rPr>
          <t xml:space="preserve">
2 minutter pr. dyr, 5 dyr pr. kasse
10/60=0,1666...</t>
        </r>
      </text>
    </comment>
    <comment ref="G45" authorId="0" shapeId="0">
      <text>
        <r>
          <rPr>
            <b/>
            <sz val="9"/>
            <color indexed="81"/>
            <rFont val="Tahoma"/>
            <family val="2"/>
          </rPr>
          <t>Jane Skaftved Mathiesen:</t>
        </r>
        <r>
          <rPr>
            <sz val="9"/>
            <color indexed="81"/>
            <rFont val="Tahoma"/>
            <family val="2"/>
          </rPr>
          <t xml:space="preserve">
3 min. pr stk.
3/60=0,05</t>
        </r>
      </text>
    </comment>
    <comment ref="G46" authorId="0" shapeId="0">
      <text>
        <r>
          <rPr>
            <b/>
            <sz val="9"/>
            <color indexed="81"/>
            <rFont val="Tahoma"/>
            <family val="2"/>
          </rPr>
          <t>Jane Skaftved Mathiesen:</t>
        </r>
        <r>
          <rPr>
            <sz val="9"/>
            <color indexed="81"/>
            <rFont val="Tahoma"/>
            <family val="2"/>
          </rPr>
          <t xml:space="preserve">
2 minutter pr. stk
2/60=0,033...</t>
        </r>
      </text>
    </comment>
    <comment ref="G54" authorId="0" shapeId="0">
      <text>
        <r>
          <rPr>
            <b/>
            <sz val="9"/>
            <color indexed="81"/>
            <rFont val="Tahoma"/>
            <family val="2"/>
          </rPr>
          <t>Jane Skaftved Mathiesen:</t>
        </r>
        <r>
          <rPr>
            <sz val="9"/>
            <color indexed="81"/>
            <rFont val="Tahoma"/>
            <family val="2"/>
          </rPr>
          <t xml:space="preserve">
60 min til 23 kasser, angives i timer:
60/23/60</t>
        </r>
      </text>
    </comment>
    <comment ref="G55" authorId="0" shapeId="0">
      <text>
        <r>
          <rPr>
            <b/>
            <sz val="9"/>
            <color indexed="81"/>
            <rFont val="Tahoma"/>
            <family val="2"/>
          </rPr>
          <t>Jane Skaftved Mathiesen:</t>
        </r>
        <r>
          <rPr>
            <sz val="9"/>
            <color indexed="81"/>
            <rFont val="Tahoma"/>
            <family val="2"/>
          </rPr>
          <t xml:space="preserve">
I alt anvenedes 190 minutter til 36 kasser
190/36/60=0,0879</t>
        </r>
      </text>
    </comment>
    <comment ref="G60" authorId="0" shapeId="0">
      <text>
        <r>
          <rPr>
            <b/>
            <sz val="9"/>
            <color indexed="81"/>
            <rFont val="Tahoma"/>
            <family val="2"/>
          </rPr>
          <t>Jane Skaftved Mathiesen:</t>
        </r>
        <r>
          <rPr>
            <sz val="9"/>
            <color indexed="81"/>
            <rFont val="Tahoma"/>
            <family val="2"/>
          </rPr>
          <t xml:space="preserve">
1,5 min pr. dyr
1,5/60=0,025</t>
        </r>
      </text>
    </comment>
    <comment ref="G61" authorId="0" shapeId="0">
      <text>
        <r>
          <rPr>
            <b/>
            <sz val="9"/>
            <color indexed="81"/>
            <rFont val="Tahoma"/>
            <family val="2"/>
          </rPr>
          <t>Jane Skaftved Mathiesen:</t>
        </r>
        <r>
          <rPr>
            <sz val="9"/>
            <color indexed="81"/>
            <rFont val="Tahoma"/>
            <family val="2"/>
          </rPr>
          <t xml:space="preserve">
3 min. pr. dyr
3/60=0,05
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</rPr>
          <t>Jane Skaftved Mathiesen:</t>
        </r>
        <r>
          <rPr>
            <sz val="9"/>
            <color indexed="81"/>
            <rFont val="Tahoma"/>
            <family val="2"/>
          </rPr>
          <t xml:space="preserve">
8 min. pr. kasse.
8/60=0,13...</t>
        </r>
      </text>
    </comment>
    <comment ref="G63" authorId="0" shapeId="0">
      <text>
        <r>
          <rPr>
            <b/>
            <sz val="9"/>
            <color indexed="81"/>
            <rFont val="Tahoma"/>
            <family val="2"/>
          </rPr>
          <t>Jane Skaftved Mathiesen:</t>
        </r>
        <r>
          <rPr>
            <sz val="9"/>
            <color indexed="81"/>
            <rFont val="Tahoma"/>
            <family val="2"/>
          </rPr>
          <t xml:space="preserve">
2 min. pr. dyr
2/60=0,033...</t>
        </r>
      </text>
    </comment>
    <comment ref="G64" authorId="0" shapeId="0">
      <text>
        <r>
          <rPr>
            <b/>
            <sz val="9"/>
            <color indexed="81"/>
            <rFont val="Tahoma"/>
            <family val="2"/>
          </rPr>
          <t>Jane Skaftved Mathiesen:</t>
        </r>
        <r>
          <rPr>
            <sz val="9"/>
            <color indexed="81"/>
            <rFont val="Tahoma"/>
            <family val="2"/>
          </rPr>
          <t xml:space="preserve">
180 min. pr. rack.
180/60=3</t>
        </r>
      </text>
    </comment>
    <comment ref="G65" authorId="0" shapeId="0">
      <text>
        <r>
          <rPr>
            <b/>
            <sz val="9"/>
            <color indexed="81"/>
            <rFont val="Tahoma"/>
            <family val="2"/>
          </rPr>
          <t>Jane Skaftved Mathiesen:</t>
        </r>
        <r>
          <rPr>
            <sz val="9"/>
            <color indexed="81"/>
            <rFont val="Tahoma"/>
            <family val="2"/>
          </rPr>
          <t xml:space="preserve">
1 min. pr. dyr
1/60=0,0166...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Jane Skaftved Mathiesen:</t>
        </r>
        <r>
          <rPr>
            <sz val="9"/>
            <color indexed="81"/>
            <rFont val="Tahoma"/>
            <family val="2"/>
          </rPr>
          <t xml:space="preserve">
1 min. pr. dyr
1/60=0,0166...</t>
        </r>
      </text>
    </comment>
    <comment ref="G67" authorId="0" shapeId="0">
      <text>
        <r>
          <rPr>
            <b/>
            <sz val="9"/>
            <color indexed="81"/>
            <rFont val="Tahoma"/>
            <family val="2"/>
          </rPr>
          <t>Jane Skaftved Mathiesen:</t>
        </r>
        <r>
          <rPr>
            <sz val="9"/>
            <color indexed="81"/>
            <rFont val="Tahoma"/>
            <family val="2"/>
          </rPr>
          <t xml:space="preserve">
1 min. pr. dyr
1/60=0,0166...</t>
        </r>
      </text>
    </comment>
    <comment ref="G68" authorId="0" shapeId="0">
      <text>
        <r>
          <rPr>
            <b/>
            <sz val="9"/>
            <color indexed="81"/>
            <rFont val="Tahoma"/>
            <family val="2"/>
          </rPr>
          <t>Jane Skaftved Mathiesen:</t>
        </r>
        <r>
          <rPr>
            <sz val="9"/>
            <color indexed="81"/>
            <rFont val="Tahoma"/>
            <family val="2"/>
          </rPr>
          <t xml:space="preserve">
1 min. pr. dyr pr. gang
1/60=0,0166...</t>
        </r>
      </text>
    </comment>
    <comment ref="G69" authorId="0" shapeId="0">
      <text>
        <r>
          <rPr>
            <b/>
            <sz val="9"/>
            <color indexed="81"/>
            <rFont val="Tahoma"/>
            <family val="2"/>
          </rPr>
          <t>Jane Skaftved Mathiesen:</t>
        </r>
        <r>
          <rPr>
            <sz val="9"/>
            <color indexed="81"/>
            <rFont val="Tahoma"/>
            <family val="2"/>
          </rPr>
          <t xml:space="preserve">
6 min. pr. dyr pr. gang
6/60=0,1
2 min vedr. håndtering af dyr og opsamling.
4 min vedr. burvask.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Jane Skaftved Mathiesen:</t>
        </r>
        <r>
          <rPr>
            <sz val="9"/>
            <color indexed="81"/>
            <rFont val="Tahoma"/>
            <family val="2"/>
          </rPr>
          <t xml:space="preserve">
3 min. pr. dyr pr. gang
3/60=0,05
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Jane Skaftved Mathiesen:</t>
        </r>
        <r>
          <rPr>
            <sz val="9"/>
            <color indexed="81"/>
            <rFont val="Tahoma"/>
            <family val="2"/>
          </rPr>
          <t xml:space="preserve">
15 min pr dyr pr gang
15/60=0,25</t>
        </r>
      </text>
    </comment>
    <comment ref="G73" authorId="0" shapeId="0">
      <text>
        <r>
          <rPr>
            <b/>
            <sz val="9"/>
            <color indexed="81"/>
            <rFont val="Tahoma"/>
            <family val="2"/>
          </rPr>
          <t>Jane Skaftved Mathiesen:</t>
        </r>
        <r>
          <rPr>
            <sz val="9"/>
            <color indexed="81"/>
            <rFont val="Tahoma"/>
            <family val="2"/>
          </rPr>
          <t xml:space="preserve">
1 min. pr. dyr
1/60=0,0166...</t>
        </r>
      </text>
    </comment>
    <comment ref="G74" authorId="0" shapeId="0">
      <text>
        <r>
          <rPr>
            <b/>
            <sz val="9"/>
            <color indexed="81"/>
            <rFont val="Tahoma"/>
            <family val="2"/>
          </rPr>
          <t>Jane Skaftved Mathiesen:</t>
        </r>
        <r>
          <rPr>
            <sz val="9"/>
            <color indexed="81"/>
            <rFont val="Tahoma"/>
            <family val="2"/>
          </rPr>
          <t xml:space="preserve">
1 min. pr. dyr
1/60=0,0166...</t>
        </r>
      </text>
    </comment>
    <comment ref="G75" authorId="0" shapeId="0">
      <text>
        <r>
          <rPr>
            <b/>
            <sz val="9"/>
            <color indexed="81"/>
            <rFont val="Tahoma"/>
            <family val="2"/>
          </rPr>
          <t>Jane Skaftved Mathiesen:</t>
        </r>
        <r>
          <rPr>
            <sz val="9"/>
            <color indexed="81"/>
            <rFont val="Tahoma"/>
            <family val="2"/>
          </rPr>
          <t xml:space="preserve">
1 min. pr. dyr
1/60=0,0166...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Jane Skaftved Mathiesen:</t>
        </r>
        <r>
          <rPr>
            <sz val="9"/>
            <color indexed="81"/>
            <rFont val="Tahoma"/>
            <family val="2"/>
          </rPr>
          <t xml:space="preserve">
64 minutter pr. scantainer.
64/60=1,07</t>
        </r>
      </text>
    </comment>
  </commentList>
</comments>
</file>

<file path=xl/sharedStrings.xml><?xml version="1.0" encoding="utf-8"?>
<sst xmlns="http://schemas.openxmlformats.org/spreadsheetml/2006/main" count="323" uniqueCount="249">
  <si>
    <t>Projektleder</t>
  </si>
  <si>
    <t>Projekt nr.</t>
  </si>
  <si>
    <t>Timer</t>
  </si>
  <si>
    <t>Pris</t>
  </si>
  <si>
    <t>Antal</t>
  </si>
  <si>
    <t>PROJEKT TITEL</t>
  </si>
  <si>
    <t>Forventet samlet udgift i alt</t>
  </si>
  <si>
    <t>SKRIV KUN I DE GRØNNE CELLER</t>
  </si>
  <si>
    <t>DKK</t>
  </si>
  <si>
    <t>Rum</t>
  </si>
  <si>
    <t>Priser</t>
  </si>
  <si>
    <t>Hele uger</t>
  </si>
  <si>
    <t>UK90</t>
  </si>
  <si>
    <t>UK95-A</t>
  </si>
  <si>
    <t>UK95-B</t>
  </si>
  <si>
    <t>UK95-B I denne pris indgår de indirekte omkostninger - kan anvendes hvis danske bevillingsgivere accepterer dette frem for fast overhead.</t>
  </si>
  <si>
    <t>Som intern pris anvendes typisk UK95-A</t>
  </si>
  <si>
    <t>UK95-A er den almindelige UK95 pris.</t>
  </si>
  <si>
    <t>Opstartsmøde</t>
  </si>
  <si>
    <t xml:space="preserve">UK </t>
  </si>
  <si>
    <t>Dyrepasser gns. løn</t>
  </si>
  <si>
    <t>Gns. timeløn dyrepassere</t>
  </si>
  <si>
    <t>…</t>
  </si>
  <si>
    <t xml:space="preserve">Heraf eventuelle udlæg for indkøb </t>
  </si>
  <si>
    <r>
      <t xml:space="preserve">Eventuelle udlæg - driftindkøb </t>
    </r>
    <r>
      <rPr>
        <sz val="8"/>
        <color theme="1"/>
        <rFont val="Calibri"/>
        <family val="2"/>
      </rPr>
      <t>(OBS ingen OH på disse på projekter).</t>
    </r>
  </si>
  <si>
    <t>UDSPECIFICERING</t>
  </si>
  <si>
    <t xml:space="preserve">Eventuelle udlæg </t>
  </si>
  <si>
    <t>Pris i alt</t>
  </si>
  <si>
    <t>Forventet pris for ydelser*</t>
  </si>
  <si>
    <r>
      <t xml:space="preserve">Betaling for timeydelser - </t>
    </r>
    <r>
      <rPr>
        <b/>
        <sz val="11"/>
        <color rgb="FFFF0000"/>
        <rFont val="Calibri"/>
        <family val="2"/>
        <scheme val="minor"/>
      </rPr>
      <t>forventning</t>
    </r>
  </si>
  <si>
    <t xml:space="preserve">DKK </t>
  </si>
  <si>
    <t>I alt betaling for timeydelser</t>
  </si>
  <si>
    <t>Betaling for udlæg</t>
  </si>
  <si>
    <t>Vælg UK værdi først</t>
  </si>
  <si>
    <t>pris pr. uge:</t>
  </si>
  <si>
    <t>UK95</t>
  </si>
  <si>
    <t>BUDGET BIO-F</t>
  </si>
  <si>
    <t>Bio-F</t>
  </si>
  <si>
    <t>Bur str.</t>
  </si>
  <si>
    <t>1 mussekasse</t>
  </si>
  <si>
    <t>Helt rack - 72 musekasser</t>
  </si>
  <si>
    <t>Type II bur</t>
  </si>
  <si>
    <t>Type III bur</t>
  </si>
  <si>
    <t>Type IV bur</t>
  </si>
  <si>
    <t>UK90 er en minimumspris, UK95 er en maksimumspris.  Basis dyrepassertid indgår.</t>
  </si>
  <si>
    <t>Tillægsydelser (oveni grundydelse):</t>
  </si>
  <si>
    <t>Isolatorer pr. bur/pr. uge</t>
  </si>
  <si>
    <t>Metabolismebur pr. bur/pr. dag</t>
  </si>
  <si>
    <t>Adfærdsrum pr. dag:</t>
  </si>
  <si>
    <t>Sektionsstue pr. dag:</t>
  </si>
  <si>
    <t>Materialer</t>
  </si>
  <si>
    <t>Grundydelse pr.cm2 pr. uge (kr.)</t>
  </si>
  <si>
    <t>Tillægsydelse Isolatorer</t>
  </si>
  <si>
    <t>Tillægsydelse Metabolismebure</t>
  </si>
  <si>
    <t>Tillægsydelse Adfærdsrum</t>
  </si>
  <si>
    <t>Tillægsydelse Sektionsstue</t>
  </si>
  <si>
    <t>Bur type</t>
  </si>
  <si>
    <t>Projektnummer</t>
  </si>
  <si>
    <t xml:space="preserve">Grundydelse </t>
  </si>
  <si>
    <t>Bur</t>
  </si>
  <si>
    <t>Betaling for bure</t>
  </si>
  <si>
    <t>Heraf grundydelse</t>
  </si>
  <si>
    <t>Heraf tillægsydelser</t>
  </si>
  <si>
    <t>Heraf materialer</t>
  </si>
  <si>
    <t>Betaling for materialer</t>
  </si>
  <si>
    <t>Betaling for tillægsydelser</t>
  </si>
  <si>
    <t>I alt betaling for bure</t>
  </si>
  <si>
    <t>Micro chips</t>
  </si>
  <si>
    <t>Burkort/Holdere (indgår fast pr. opstart)</t>
  </si>
  <si>
    <t>Stk. pris</t>
  </si>
  <si>
    <t>Antal i alt</t>
  </si>
  <si>
    <t>Tillægsydelse</t>
  </si>
  <si>
    <t>I alt betaling for tillægsydelser</t>
  </si>
  <si>
    <t>Burkort og holdere på bur</t>
  </si>
  <si>
    <t>Gennemgang af forsøgsplaner</t>
  </si>
  <si>
    <t>Øremærkning</t>
  </si>
  <si>
    <t>Avl af mus eller rotter</t>
  </si>
  <si>
    <t>Chip mærkning</t>
  </si>
  <si>
    <t>Ekstra tilsyn</t>
  </si>
  <si>
    <t>Arbejdstid til bestråling af materiale</t>
  </si>
  <si>
    <t>Arbejdstid metabolisme bure</t>
  </si>
  <si>
    <t>Skift af helt rack</t>
  </si>
  <si>
    <t>Ekstra rengøring af dyrerum og hjælperum</t>
  </si>
  <si>
    <t>Ekstra forsøgsdyrstilladelse</t>
  </si>
  <si>
    <t>Arbejdstid kimfri dyr</t>
  </si>
  <si>
    <t>Afslutning, desinfektion m.v.</t>
  </si>
  <si>
    <t>Antal ydelser</t>
  </si>
  <si>
    <t>Special foder fremstilling m.v.</t>
  </si>
  <si>
    <t>Fravænning inkl. udarbejdelse af nye burkort</t>
  </si>
  <si>
    <t xml:space="preserve">Autoklavering </t>
  </si>
  <si>
    <t>Blodprøver, samlet timeafregning</t>
  </si>
  <si>
    <t>Blodprøve ved hale, hjerte, portal vene</t>
  </si>
  <si>
    <t>Blodprøve v. tunge og kind</t>
  </si>
  <si>
    <t>Vejning af dyr</t>
  </si>
  <si>
    <t>Vejning af foder/vand</t>
  </si>
  <si>
    <t xml:space="preserve">Dosering af dyr (sonde, ip o.s.v) </t>
  </si>
  <si>
    <t>Temperatur måling/vap/øretest</t>
  </si>
  <si>
    <t>Fæcesprøver</t>
  </si>
  <si>
    <t>Hudtest</t>
  </si>
  <si>
    <t>Hudtest med måling</t>
  </si>
  <si>
    <t>Afrundet</t>
  </si>
  <si>
    <t>**Tidsangivelse:  1 min. er 1/60=0,0166̅, decimaler indgår i beregning af timetal.</t>
  </si>
  <si>
    <r>
      <t>Timeafregning</t>
    </r>
    <r>
      <rPr>
        <sz val="11"/>
        <color theme="1"/>
        <rFont val="Calibri"/>
        <family val="2"/>
      </rPr>
      <t xml:space="preserve"> </t>
    </r>
  </si>
  <si>
    <t>Ydelsestid**</t>
  </si>
  <si>
    <t>Tid pr. ydelse</t>
  </si>
  <si>
    <t>Antal uger</t>
  </si>
  <si>
    <t>Antal bure</t>
  </si>
  <si>
    <r>
      <t xml:space="preserve">Heraf forventet timeafregning - </t>
    </r>
    <r>
      <rPr>
        <b/>
        <sz val="11"/>
        <color rgb="FFFF0000"/>
        <rFont val="Calibri"/>
        <family val="2"/>
      </rPr>
      <t>OBS på gns. timepris!</t>
    </r>
  </si>
  <si>
    <t>Nr.</t>
  </si>
  <si>
    <t>A.</t>
  </si>
  <si>
    <t>B.</t>
  </si>
  <si>
    <t xml:space="preserve">C. </t>
  </si>
  <si>
    <t>D.</t>
  </si>
  <si>
    <t>E.</t>
  </si>
  <si>
    <t>F.</t>
  </si>
  <si>
    <t>G.</t>
  </si>
  <si>
    <t>H.</t>
  </si>
  <si>
    <t>I.</t>
  </si>
  <si>
    <t>J.</t>
  </si>
  <si>
    <t>K.</t>
  </si>
  <si>
    <t>L.</t>
  </si>
  <si>
    <t>Bur typer</t>
  </si>
  <si>
    <t>cm2</t>
  </si>
  <si>
    <t>Vedrører opg.</t>
  </si>
  <si>
    <t>Hele dage</t>
  </si>
  <si>
    <t xml:space="preserve">Faste ydelser pr. forsøg </t>
  </si>
  <si>
    <t xml:space="preserve">Løbende ydelser </t>
  </si>
  <si>
    <t xml:space="preserve">Øvrige ydelser </t>
  </si>
  <si>
    <t>I alt betaling for materialer</t>
  </si>
  <si>
    <t>Vedrørende opgave</t>
  </si>
  <si>
    <t>Opgave</t>
  </si>
  <si>
    <t>Evt. opg. nr.</t>
  </si>
  <si>
    <t>Fornavn</t>
  </si>
  <si>
    <t>Efternavn</t>
  </si>
  <si>
    <t>Ansæt.nr</t>
  </si>
  <si>
    <t>Rate</t>
  </si>
  <si>
    <t>Grundlag Timer</t>
  </si>
  <si>
    <t>Grundlag Løn</t>
  </si>
  <si>
    <t>Start dag</t>
  </si>
  <si>
    <t>Slut dag</t>
  </si>
  <si>
    <t>Pr. uge</t>
  </si>
  <si>
    <t>I alt</t>
  </si>
  <si>
    <t>Uge nr.</t>
  </si>
  <si>
    <t xml:space="preserve">Start uge </t>
  </si>
  <si>
    <t>Slut uge</t>
  </si>
  <si>
    <t>Start uge</t>
  </si>
  <si>
    <t>Antal bur uger</t>
  </si>
  <si>
    <t>Dyrepassertimer i alt</t>
  </si>
  <si>
    <t>Dyrlægetimer</t>
  </si>
  <si>
    <t xml:space="preserve">Dyrlæge </t>
  </si>
  <si>
    <t>Dyrlæge gns. løn</t>
  </si>
  <si>
    <t>Gns. timeløn dyrlæge</t>
  </si>
  <si>
    <t>Dyrepasser</t>
  </si>
  <si>
    <t>Dyrlæge</t>
  </si>
  <si>
    <t>Profit ydelser</t>
  </si>
  <si>
    <t>Timesatsliste i Lønbogen, UK90 løn er tillagt 180% OH</t>
  </si>
  <si>
    <t>Der indgår OH i beregningen af UK90 priserne - så dette er ren profit</t>
  </si>
  <si>
    <r>
      <t>Ekstra profit/rabat for UK90</t>
    </r>
    <r>
      <rPr>
        <sz val="8"/>
        <color theme="1"/>
        <rFont val="Calibri"/>
        <family val="2"/>
      </rPr>
      <t xml:space="preserve"> (rabat angives med negativt fortegn)</t>
    </r>
  </si>
  <si>
    <t>Der er tillagt 20% til UK90 priserne i profit og 180% på løn-kostprisen</t>
  </si>
  <si>
    <t>Tjek af fødsler pr. bur</t>
  </si>
  <si>
    <t>Tjek i fbm drægtighed (plug, palperation, fødsel) pr. dyr</t>
  </si>
  <si>
    <t>Aflivning pr. dyr</t>
  </si>
  <si>
    <t>Rengøring af ekstra Scantainer ifbm. avl/forsøg</t>
  </si>
  <si>
    <t>Urinopsamling inkl. burvask</t>
  </si>
  <si>
    <t>Projekttitel</t>
  </si>
  <si>
    <t>Avl Brown Norway</t>
  </si>
  <si>
    <t>Katrine Lindholm Bøgh</t>
  </si>
  <si>
    <t>13033 E-3</t>
  </si>
  <si>
    <t>Camilla Lindgren Bech</t>
  </si>
  <si>
    <t>13215, X-01</t>
  </si>
  <si>
    <t xml:space="preserve">Time-mated Crl:CD(SD) rats </t>
  </si>
  <si>
    <t>Kira Astakhova</t>
  </si>
  <si>
    <t>40977  E-4</t>
  </si>
  <si>
    <t>Study</t>
  </si>
  <si>
    <t>Antal kasser</t>
  </si>
  <si>
    <t>Udpakning af hjemkomne dyr, pr. kasse</t>
  </si>
  <si>
    <t>Colitis model</t>
  </si>
  <si>
    <t>Martin Frederik Laursen</t>
  </si>
  <si>
    <t>13415 X-2</t>
  </si>
  <si>
    <t>ALLEVIATE - Ara h 6 + R1 peptid screening og post-immuniseringer</t>
  </si>
  <si>
    <t>13246 X-3</t>
  </si>
  <si>
    <t>Mice breeding</t>
  </si>
  <si>
    <t>Katharina Lahl</t>
  </si>
  <si>
    <t>23353 X-2</t>
  </si>
  <si>
    <t>William Winston Agace</t>
  </si>
  <si>
    <t>23260 X-2</t>
  </si>
  <si>
    <t>Mice immunizing</t>
  </si>
  <si>
    <t>Niels Lorezen</t>
  </si>
  <si>
    <t xml:space="preserve"> 39654 X-4-1</t>
  </si>
  <si>
    <t>Botulisme mus</t>
  </si>
  <si>
    <t>Tim Kåre Jensen</t>
  </si>
  <si>
    <t>28005 I-1</t>
  </si>
  <si>
    <t>Vasileios Bekiaris</t>
  </si>
  <si>
    <t>23332 X-4</t>
  </si>
  <si>
    <t>Nicolaj Winther</t>
  </si>
  <si>
    <t>20864 X-3</t>
  </si>
  <si>
    <t>Anders Elias Hansen</t>
  </si>
  <si>
    <t>P65717 X-1</t>
  </si>
  <si>
    <t>Avl kimfrie mus</t>
  </si>
  <si>
    <t>Martin Laursen</t>
  </si>
  <si>
    <t>13033, E-2</t>
  </si>
  <si>
    <t>MIMIO</t>
  </si>
  <si>
    <t>13374, X-03-2</t>
  </si>
  <si>
    <t>Anders Meyer Torp</t>
  </si>
  <si>
    <t xml:space="preserve">Trine Sundebo Meldgaard </t>
  </si>
  <si>
    <t>Microbial study</t>
  </si>
  <si>
    <t>Teknikertimer</t>
  </si>
  <si>
    <t>FREIA</t>
  </si>
  <si>
    <t>Julie Boberg</t>
  </si>
  <si>
    <t>13499, X-4</t>
  </si>
  <si>
    <t>Vibeke Hedeholm Kongstad Kruse</t>
  </si>
  <si>
    <t xml:space="preserve">53282-X2 </t>
  </si>
  <si>
    <t>B16F10 tumor study + therapeutic vaccination (NPV9)</t>
  </si>
  <si>
    <t xml:space="preserve">Sine Reker Hadrup/Sara Suárez Hernández </t>
  </si>
  <si>
    <t>65770-X3</t>
  </si>
  <si>
    <t xml:space="preserve">GLP1 production in S. Boulardii </t>
  </si>
  <si>
    <t>Studienummer</t>
  </si>
  <si>
    <t>Tillægsydelse (kun for UK90 kunder)</t>
  </si>
  <si>
    <t>IVC mussekasse</t>
  </si>
  <si>
    <t>Type II kasse</t>
  </si>
  <si>
    <t>Type III kasse - MUS</t>
  </si>
  <si>
    <t>Type III kasse- ROTTER</t>
  </si>
  <si>
    <t>Type IV kasse</t>
  </si>
  <si>
    <t>Ny pris</t>
  </si>
  <si>
    <t>Reducerede priser UK95-A</t>
  </si>
  <si>
    <t>Reducerede priser UK95-A udmeldt af Sanne</t>
  </si>
  <si>
    <t>Tillægsydelse - kun for eksterne kunder (UK90)</t>
  </si>
  <si>
    <t>Beregnede priser</t>
  </si>
  <si>
    <t>Adam Plumb</t>
  </si>
  <si>
    <t>23260 X-5</t>
  </si>
  <si>
    <t>Hongbin Zhang/Susanne Kammler</t>
  </si>
  <si>
    <t>Martin Wiinberg</t>
  </si>
  <si>
    <t>Evaluation of cancer immune therapy</t>
  </si>
  <si>
    <t>Anticancer properties of streptococcal metabolites</t>
  </si>
  <si>
    <t xml:space="preserve">Mariia Suvorova </t>
  </si>
  <si>
    <t>Grace de Malona Eriksen</t>
  </si>
  <si>
    <t>Biodistribution</t>
  </si>
  <si>
    <t>IVC rack</t>
  </si>
  <si>
    <t>Type III bur-rat</t>
  </si>
  <si>
    <t>Type III bur-mice</t>
  </si>
  <si>
    <t>Fra prisliste 10-01-2022</t>
  </si>
  <si>
    <t>Ekstra skift, pr. kasse (IVC bur)</t>
  </si>
  <si>
    <t>Ekstra skift, pr. kasse (Type II/III/IV bur i Scantainer)</t>
  </si>
  <si>
    <t xml:space="preserve">Plastiksonder </t>
  </si>
  <si>
    <t>Metalsonder</t>
  </si>
  <si>
    <t>Gel</t>
  </si>
  <si>
    <t>Anæstesi væske (pr. bedøvelse)</t>
  </si>
  <si>
    <t>Transportkasser (pr. kasse)</t>
  </si>
  <si>
    <t>Hypnorm/Midazolam (pr. 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</si>
</sst>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r.&quot;_-;\-* #,##0.00\ &quot;kr.&quot;_-;_-* &quot;-&quot;??\ &quot;kr.&quot;_-;_-@_-"/>
    <numFmt numFmtId="164" formatCode="_ * #,##0.00_ ;_ * \-#,##0.00_ ;_ * &quot;-&quot;??_ ;_ @_ "/>
    <numFmt numFmtId="165" formatCode="0.00000000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8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2"/>
      <color theme="1"/>
      <name val="Calibri"/>
      <family val="2"/>
      <scheme val="minor"/>
    </font>
    <font>
      <b/>
      <sz val="8"/>
      <color rgb="FF363636"/>
      <name val="Tahoma"/>
      <family val="2"/>
    </font>
    <font>
      <sz val="8"/>
      <color rgb="FF363636"/>
      <name val="Tahoma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DCDCDC"/>
      </left>
      <right style="thin">
        <color rgb="FFDCDCDC"/>
      </right>
      <top style="medium">
        <color rgb="FFDCDCDC"/>
      </top>
      <bottom style="thin">
        <color rgb="FFDCDCDC"/>
      </bottom>
      <diagonal/>
    </border>
    <border>
      <left style="thin">
        <color rgb="FFDCDCDC"/>
      </left>
      <right style="medium">
        <color rgb="FFDCDCDC"/>
      </right>
      <top style="medium">
        <color rgb="FFDCDCDC"/>
      </top>
      <bottom style="thin">
        <color rgb="FFDCDCDC"/>
      </bottom>
      <diagonal/>
    </border>
    <border>
      <left style="thin">
        <color rgb="FFDCDCDC"/>
      </left>
      <right style="thin">
        <color rgb="FFDCDCDC"/>
      </right>
      <top style="thin">
        <color rgb="FFDCDCDC"/>
      </top>
      <bottom style="thin">
        <color rgb="FFDCDCDC"/>
      </bottom>
      <diagonal/>
    </border>
    <border>
      <left style="thin">
        <color indexed="64"/>
      </left>
      <right style="thin">
        <color rgb="FFDCDCDC"/>
      </right>
      <top style="medium">
        <color rgb="FFDCDCDC"/>
      </top>
      <bottom style="thin">
        <color rgb="FFDCDCDC"/>
      </bottom>
      <diagonal/>
    </border>
    <border>
      <left style="thin">
        <color rgb="FFDCDCDC"/>
      </left>
      <right style="thin">
        <color indexed="64"/>
      </right>
      <top style="thin">
        <color rgb="FFDCDCDC"/>
      </top>
      <bottom style="thin">
        <color rgb="FFDCDCDC"/>
      </bottom>
      <diagonal/>
    </border>
    <border>
      <left style="thin">
        <color indexed="64"/>
      </left>
      <right style="thin">
        <color rgb="FFDCDCDC"/>
      </right>
      <top style="thin">
        <color rgb="FFDCDCDC"/>
      </top>
      <bottom style="thin">
        <color rgb="FFDCDCDC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3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0" borderId="6" xfId="0" applyBorder="1"/>
    <xf numFmtId="4" fontId="0" fillId="0" borderId="6" xfId="0" applyNumberFormat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4" xfId="0" applyFill="1" applyBorder="1"/>
    <xf numFmtId="0" fontId="3" fillId="4" borderId="8" xfId="0" applyFont="1" applyFill="1" applyBorder="1"/>
    <xf numFmtId="0" fontId="3" fillId="4" borderId="0" xfId="0" applyFont="1" applyFill="1" applyBorder="1" applyAlignment="1">
      <alignment horizontal="center"/>
    </xf>
    <xf numFmtId="0" fontId="3" fillId="4" borderId="0" xfId="0" applyFont="1" applyFill="1" applyBorder="1"/>
    <xf numFmtId="4" fontId="3" fillId="4" borderId="9" xfId="0" applyNumberFormat="1" applyFont="1" applyFill="1" applyBorder="1"/>
    <xf numFmtId="0" fontId="0" fillId="0" borderId="0" xfId="0" applyFill="1"/>
    <xf numFmtId="0" fontId="3" fillId="0" borderId="0" xfId="0" applyFont="1" applyFill="1" applyBorder="1"/>
    <xf numFmtId="2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3" fillId="0" borderId="22" xfId="0" applyNumberFormat="1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164" fontId="3" fillId="0" borderId="22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4" fontId="0" fillId="0" borderId="0" xfId="0" applyNumberFormat="1" applyBorder="1"/>
    <xf numFmtId="4" fontId="0" fillId="0" borderId="9" xfId="0" applyNumberFormat="1" applyBorder="1"/>
    <xf numFmtId="0" fontId="5" fillId="0" borderId="8" xfId="0" applyFont="1" applyBorder="1" applyAlignment="1">
      <alignment wrapText="1"/>
    </xf>
    <xf numFmtId="0" fontId="3" fillId="2" borderId="13" xfId="0" applyFont="1" applyFill="1" applyBorder="1"/>
    <xf numFmtId="0" fontId="3" fillId="2" borderId="21" xfId="0" applyFont="1" applyFill="1" applyBorder="1"/>
    <xf numFmtId="0" fontId="5" fillId="0" borderId="0" xfId="0" applyFont="1" applyBorder="1" applyAlignment="1">
      <alignment wrapText="1"/>
    </xf>
    <xf numFmtId="0" fontId="0" fillId="0" borderId="0" xfId="0" applyBorder="1"/>
    <xf numFmtId="0" fontId="0" fillId="0" borderId="27" xfId="0" applyBorder="1"/>
    <xf numFmtId="0" fontId="0" fillId="0" borderId="24" xfId="0" applyBorder="1"/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26" xfId="0" applyBorder="1"/>
    <xf numFmtId="0" fontId="0" fillId="0" borderId="29" xfId="0" applyBorder="1"/>
    <xf numFmtId="0" fontId="3" fillId="0" borderId="25" xfId="0" applyFont="1" applyBorder="1"/>
    <xf numFmtId="0" fontId="6" fillId="0" borderId="23" xfId="0" applyFont="1" applyBorder="1"/>
    <xf numFmtId="0" fontId="6" fillId="0" borderId="28" xfId="0" applyFont="1" applyBorder="1"/>
    <xf numFmtId="2" fontId="0" fillId="0" borderId="0" xfId="0" applyNumberFormat="1" applyBorder="1"/>
    <xf numFmtId="0" fontId="6" fillId="0" borderId="0" xfId="0" applyFont="1" applyBorder="1"/>
    <xf numFmtId="0" fontId="0" fillId="5" borderId="0" xfId="0" applyFill="1" applyBorder="1"/>
    <xf numFmtId="0" fontId="0" fillId="5" borderId="0" xfId="0" applyFill="1"/>
    <xf numFmtId="2" fontId="0" fillId="5" borderId="0" xfId="0" applyNumberFormat="1" applyFill="1" applyBorder="1"/>
    <xf numFmtId="0" fontId="0" fillId="5" borderId="26" xfId="0" applyFill="1" applyBorder="1"/>
    <xf numFmtId="0" fontId="3" fillId="2" borderId="30" xfId="0" applyFont="1" applyFill="1" applyBorder="1"/>
    <xf numFmtId="0" fontId="3" fillId="2" borderId="10" xfId="0" applyFont="1" applyFill="1" applyBorder="1"/>
    <xf numFmtId="4" fontId="0" fillId="0" borderId="0" xfId="0" applyNumberFormat="1"/>
    <xf numFmtId="0" fontId="3" fillId="2" borderId="3" xfId="0" applyFont="1" applyFill="1" applyBorder="1"/>
    <xf numFmtId="0" fontId="3" fillId="2" borderId="10" xfId="0" applyFont="1" applyFill="1" applyBorder="1" applyAlignment="1"/>
    <xf numFmtId="0" fontId="3" fillId="2" borderId="11" xfId="0" applyFont="1" applyFill="1" applyBorder="1"/>
    <xf numFmtId="0" fontId="3" fillId="2" borderId="16" xfId="0" applyFont="1" applyFill="1" applyBorder="1"/>
    <xf numFmtId="4" fontId="3" fillId="2" borderId="14" xfId="0" applyNumberFormat="1" applyFont="1" applyFill="1" applyBorder="1" applyAlignment="1"/>
    <xf numFmtId="0" fontId="0" fillId="2" borderId="13" xfId="0" applyFill="1" applyBorder="1" applyAlignment="1">
      <alignment horizontal="center"/>
    </xf>
    <xf numFmtId="0" fontId="0" fillId="2" borderId="13" xfId="0" applyFill="1" applyBorder="1"/>
    <xf numFmtId="0" fontId="0" fillId="2" borderId="11" xfId="0" applyFill="1" applyBorder="1" applyAlignment="1">
      <alignment horizontal="center"/>
    </xf>
    <xf numFmtId="0" fontId="0" fillId="2" borderId="11" xfId="0" applyFill="1" applyBorder="1"/>
    <xf numFmtId="0" fontId="3" fillId="0" borderId="13" xfId="0" applyFont="1" applyBorder="1" applyAlignment="1"/>
    <xf numFmtId="0" fontId="3" fillId="0" borderId="21" xfId="0" applyFont="1" applyBorder="1" applyAlignment="1"/>
    <xf numFmtId="0" fontId="7" fillId="0" borderId="0" xfId="0" applyFont="1"/>
    <xf numFmtId="0" fontId="0" fillId="0" borderId="13" xfId="0" applyFont="1" applyBorder="1" applyAlignment="1"/>
    <xf numFmtId="2" fontId="0" fillId="0" borderId="1" xfId="0" applyNumberFormat="1" applyFill="1" applyBorder="1" applyAlignment="1">
      <alignment horizontal="center"/>
    </xf>
    <xf numFmtId="0" fontId="0" fillId="0" borderId="0" xfId="0"/>
    <xf numFmtId="4" fontId="3" fillId="0" borderId="21" xfId="0" applyNumberFormat="1" applyFont="1" applyBorder="1" applyAlignment="1"/>
    <xf numFmtId="0" fontId="3" fillId="0" borderId="2" xfId="0" applyFont="1" applyBorder="1" applyAlignment="1"/>
    <xf numFmtId="0" fontId="6" fillId="0" borderId="13" xfId="0" applyFont="1" applyBorder="1" applyAlignment="1"/>
    <xf numFmtId="0" fontId="3" fillId="0" borderId="18" xfId="0" applyFont="1" applyBorder="1" applyAlignment="1"/>
    <xf numFmtId="0" fontId="0" fillId="0" borderId="19" xfId="0" applyBorder="1"/>
    <xf numFmtId="0" fontId="3" fillId="0" borderId="30" xfId="0" applyFont="1" applyBorder="1" applyAlignment="1"/>
    <xf numFmtId="0" fontId="0" fillId="0" borderId="30" xfId="0" applyFont="1" applyBorder="1" applyAlignment="1"/>
    <xf numFmtId="0" fontId="5" fillId="0" borderId="30" xfId="0" applyFont="1" applyBorder="1" applyAlignment="1"/>
    <xf numFmtId="14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3" fillId="0" borderId="13" xfId="0" applyFont="1" applyFill="1" applyBorder="1" applyAlignment="1">
      <alignment horizontal="left"/>
    </xf>
    <xf numFmtId="0" fontId="3" fillId="0" borderId="30" xfId="0" applyFont="1" applyFill="1" applyBorder="1"/>
    <xf numFmtId="0" fontId="3" fillId="0" borderId="0" xfId="0" applyFont="1" applyFill="1" applyBorder="1" applyAlignment="1">
      <alignment horizontal="left"/>
    </xf>
    <xf numFmtId="44" fontId="3" fillId="0" borderId="34" xfId="3" applyFont="1" applyFill="1" applyBorder="1" applyAlignment="1">
      <alignment horizontal="left"/>
    </xf>
    <xf numFmtId="44" fontId="1" fillId="0" borderId="14" xfId="3" applyFont="1" applyFill="1" applyBorder="1" applyAlignment="1">
      <alignment horizontal="left"/>
    </xf>
    <xf numFmtId="0" fontId="3" fillId="5" borderId="15" xfId="0" applyFont="1" applyFill="1" applyBorder="1"/>
    <xf numFmtId="0" fontId="3" fillId="0" borderId="35" xfId="0" applyFont="1" applyFill="1" applyBorder="1"/>
    <xf numFmtId="44" fontId="3" fillId="0" borderId="0" xfId="3" applyFont="1" applyFill="1" applyBorder="1" applyAlignment="1">
      <alignment horizontal="left"/>
    </xf>
    <xf numFmtId="0" fontId="9" fillId="0" borderId="0" xfId="0" applyFont="1" applyFill="1" applyBorder="1"/>
    <xf numFmtId="0" fontId="3" fillId="0" borderId="33" xfId="0" applyFont="1" applyFill="1" applyBorder="1" applyAlignment="1">
      <alignment horizontal="left"/>
    </xf>
    <xf numFmtId="0" fontId="3" fillId="0" borderId="8" xfId="0" applyFont="1" applyFill="1" applyBorder="1"/>
    <xf numFmtId="0" fontId="3" fillId="0" borderId="16" xfId="0" applyFont="1" applyFill="1" applyBorder="1" applyAlignment="1">
      <alignment horizontal="left"/>
    </xf>
    <xf numFmtId="44" fontId="1" fillId="0" borderId="17" xfId="3" applyFont="1" applyFill="1" applyBorder="1" applyAlignment="1">
      <alignment horizontal="left"/>
    </xf>
    <xf numFmtId="0" fontId="3" fillId="5" borderId="36" xfId="0" applyFont="1" applyFill="1" applyBorder="1" applyAlignment="1">
      <alignment horizontal="center"/>
    </xf>
    <xf numFmtId="0" fontId="3" fillId="0" borderId="37" xfId="0" applyFont="1" applyFill="1" applyBorder="1"/>
    <xf numFmtId="0" fontId="3" fillId="0" borderId="7" xfId="0" applyFont="1" applyFill="1" applyBorder="1"/>
    <xf numFmtId="0" fontId="3" fillId="5" borderId="30" xfId="0" applyFont="1" applyFill="1" applyBorder="1" applyAlignment="1"/>
    <xf numFmtId="0" fontId="3" fillId="5" borderId="13" xfId="0" applyFont="1" applyFill="1" applyBorder="1" applyAlignment="1"/>
    <xf numFmtId="0" fontId="3" fillId="5" borderId="21" xfId="0" applyFont="1" applyFill="1" applyBorder="1" applyAlignment="1"/>
    <xf numFmtId="0" fontId="0" fillId="0" borderId="21" xfId="0" applyBorder="1"/>
    <xf numFmtId="0" fontId="3" fillId="5" borderId="40" xfId="0" applyFont="1" applyFill="1" applyBorder="1" applyAlignment="1">
      <alignment horizontal="center"/>
    </xf>
    <xf numFmtId="164" fontId="3" fillId="5" borderId="6" xfId="0" applyNumberFormat="1" applyFont="1" applyFill="1" applyBorder="1" applyAlignment="1">
      <alignment horizontal="center"/>
    </xf>
    <xf numFmtId="0" fontId="0" fillId="0" borderId="30" xfId="0" applyBorder="1"/>
    <xf numFmtId="0" fontId="0" fillId="0" borderId="8" xfId="0" applyBorder="1"/>
    <xf numFmtId="0" fontId="0" fillId="0" borderId="9" xfId="0" applyBorder="1"/>
    <xf numFmtId="0" fontId="0" fillId="0" borderId="35" xfId="0" applyBorder="1"/>
    <xf numFmtId="4" fontId="0" fillId="0" borderId="43" xfId="0" applyNumberFormat="1" applyBorder="1"/>
    <xf numFmtId="0" fontId="3" fillId="0" borderId="15" xfId="0" applyFont="1" applyFill="1" applyBorder="1"/>
    <xf numFmtId="0" fontId="0" fillId="0" borderId="23" xfId="0" applyBorder="1"/>
    <xf numFmtId="0" fontId="3" fillId="0" borderId="48" xfId="0" applyFont="1" applyFill="1" applyBorder="1"/>
    <xf numFmtId="0" fontId="0" fillId="0" borderId="5" xfId="0" applyFill="1" applyBorder="1" applyAlignment="1">
      <alignment horizontal="left"/>
    </xf>
    <xf numFmtId="4" fontId="3" fillId="0" borderId="9" xfId="0" applyNumberFormat="1" applyFont="1" applyFill="1" applyBorder="1" applyAlignment="1">
      <alignment horizontal="center"/>
    </xf>
    <xf numFmtId="0" fontId="3" fillId="5" borderId="47" xfId="0" applyFont="1" applyFill="1" applyBorder="1" applyAlignment="1">
      <alignment horizontal="center"/>
    </xf>
    <xf numFmtId="0" fontId="2" fillId="0" borderId="0" xfId="0" applyFont="1"/>
    <xf numFmtId="0" fontId="4" fillId="7" borderId="3" xfId="0" applyFont="1" applyFill="1" applyBorder="1"/>
    <xf numFmtId="0" fontId="4" fillId="7" borderId="7" xfId="0" applyFont="1" applyFill="1" applyBorder="1"/>
    <xf numFmtId="0" fontId="0" fillId="7" borderId="7" xfId="0" applyFill="1" applyBorder="1" applyAlignment="1">
      <alignment horizontal="center"/>
    </xf>
    <xf numFmtId="0" fontId="0" fillId="7" borderId="7" xfId="0" applyFill="1" applyBorder="1"/>
    <xf numFmtId="0" fontId="0" fillId="7" borderId="4" xfId="0" applyFill="1" applyBorder="1"/>
    <xf numFmtId="0" fontId="3" fillId="7" borderId="2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7" borderId="30" xfId="0" applyFont="1" applyFill="1" applyBorder="1"/>
    <xf numFmtId="0" fontId="3" fillId="7" borderId="13" xfId="0" applyFont="1" applyFill="1" applyBorder="1"/>
    <xf numFmtId="0" fontId="0" fillId="7" borderId="13" xfId="0" applyFill="1" applyBorder="1" applyAlignment="1">
      <alignment horizontal="center"/>
    </xf>
    <xf numFmtId="1" fontId="3" fillId="7" borderId="13" xfId="0" applyNumberFormat="1" applyFont="1" applyFill="1" applyBorder="1" applyAlignment="1">
      <alignment horizontal="center"/>
    </xf>
    <xf numFmtId="0" fontId="0" fillId="7" borderId="14" xfId="0" applyFill="1" applyBorder="1"/>
    <xf numFmtId="0" fontId="3" fillId="7" borderId="30" xfId="0" applyFont="1" applyFill="1" applyBorder="1" applyAlignment="1">
      <alignment horizontal="left"/>
    </xf>
    <xf numFmtId="0" fontId="3" fillId="7" borderId="32" xfId="0" applyFont="1" applyFill="1" applyBorder="1" applyAlignment="1"/>
    <xf numFmtId="0" fontId="3" fillId="7" borderId="26" xfId="0" applyFont="1" applyFill="1" applyBorder="1" applyAlignment="1"/>
    <xf numFmtId="0" fontId="3" fillId="7" borderId="15" xfId="0" applyFont="1" applyFill="1" applyBorder="1"/>
    <xf numFmtId="0" fontId="3" fillId="7" borderId="16" xfId="0" applyFont="1" applyFill="1" applyBorder="1"/>
    <xf numFmtId="0" fontId="0" fillId="7" borderId="16" xfId="0" applyFill="1" applyBorder="1" applyAlignment="1">
      <alignment horizontal="center"/>
    </xf>
    <xf numFmtId="0" fontId="0" fillId="7" borderId="16" xfId="0" applyFill="1" applyBorder="1"/>
    <xf numFmtId="164" fontId="3" fillId="7" borderId="17" xfId="1" applyFont="1" applyFill="1" applyBorder="1"/>
    <xf numFmtId="0" fontId="3" fillId="7" borderId="18" xfId="0" applyFont="1" applyFill="1" applyBorder="1"/>
    <xf numFmtId="0" fontId="3" fillId="7" borderId="2" xfId="0" applyFont="1" applyFill="1" applyBorder="1"/>
    <xf numFmtId="0" fontId="0" fillId="7" borderId="2" xfId="0" applyFill="1" applyBorder="1" applyAlignment="1">
      <alignment horizontal="center"/>
    </xf>
    <xf numFmtId="0" fontId="0" fillId="7" borderId="2" xfId="0" applyFill="1" applyBorder="1"/>
    <xf numFmtId="164" fontId="3" fillId="7" borderId="19" xfId="1" applyFont="1" applyFill="1" applyBorder="1"/>
    <xf numFmtId="0" fontId="3" fillId="7" borderId="30" xfId="0" applyFont="1" applyFill="1" applyBorder="1" applyAlignment="1"/>
    <xf numFmtId="0" fontId="3" fillId="7" borderId="13" xfId="0" applyFont="1" applyFill="1" applyBorder="1" applyAlignment="1"/>
    <xf numFmtId="0" fontId="3" fillId="7" borderId="13" xfId="0" applyFon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21" xfId="0" applyFont="1" applyFill="1" applyBorder="1" applyAlignment="1">
      <alignment horizontal="center"/>
    </xf>
    <xf numFmtId="0" fontId="7" fillId="0" borderId="13" xfId="0" applyFont="1" applyBorder="1" applyAlignment="1"/>
    <xf numFmtId="0" fontId="3" fillId="0" borderId="32" xfId="0" applyFont="1" applyBorder="1" applyAlignment="1"/>
    <xf numFmtId="0" fontId="3" fillId="0" borderId="26" xfId="0" applyFont="1" applyBorder="1" applyAlignment="1"/>
    <xf numFmtId="0" fontId="0" fillId="0" borderId="49" xfId="0" applyBorder="1"/>
    <xf numFmtId="4" fontId="0" fillId="0" borderId="6" xfId="0" applyNumberFormat="1" applyFill="1" applyBorder="1" applyAlignment="1">
      <alignment horizontal="right"/>
    </xf>
    <xf numFmtId="4" fontId="3" fillId="0" borderId="38" xfId="0" applyNumberFormat="1" applyFont="1" applyFill="1" applyBorder="1" applyAlignment="1">
      <alignment horizontal="right"/>
    </xf>
    <xf numFmtId="0" fontId="12" fillId="0" borderId="30" xfId="0" applyFont="1" applyBorder="1"/>
    <xf numFmtId="0" fontId="11" fillId="0" borderId="20" xfId="0" applyFont="1" applyFill="1" applyBorder="1" applyAlignment="1"/>
    <xf numFmtId="0" fontId="0" fillId="0" borderId="13" xfId="0" applyFill="1" applyBorder="1" applyAlignment="1"/>
    <xf numFmtId="0" fontId="0" fillId="0" borderId="14" xfId="0" applyFill="1" applyBorder="1" applyAlignment="1"/>
    <xf numFmtId="0" fontId="11" fillId="0" borderId="11" xfId="0" applyFont="1" applyFill="1" applyBorder="1" applyAlignment="1"/>
    <xf numFmtId="0" fontId="0" fillId="0" borderId="11" xfId="0" applyFill="1" applyBorder="1" applyAlignment="1"/>
    <xf numFmtId="0" fontId="0" fillId="0" borderId="12" xfId="0" applyFill="1" applyBorder="1" applyAlignment="1"/>
    <xf numFmtId="2" fontId="0" fillId="0" borderId="0" xfId="0" quotePrefix="1" applyNumberFormat="1"/>
    <xf numFmtId="0" fontId="0" fillId="0" borderId="13" xfId="0" applyBorder="1"/>
    <xf numFmtId="13" fontId="0" fillId="0" borderId="0" xfId="0" applyNumberFormat="1"/>
    <xf numFmtId="165" fontId="0" fillId="0" borderId="0" xfId="0" applyNumberFormat="1"/>
    <xf numFmtId="9" fontId="0" fillId="0" borderId="0" xfId="0" applyNumberFormat="1" applyBorder="1"/>
    <xf numFmtId="0" fontId="0" fillId="5" borderId="23" xfId="0" applyFill="1" applyBorder="1"/>
    <xf numFmtId="0" fontId="0" fillId="0" borderId="28" xfId="0" applyBorder="1"/>
    <xf numFmtId="0" fontId="7" fillId="0" borderId="8" xfId="0" applyFont="1" applyBorder="1"/>
    <xf numFmtId="0" fontId="0" fillId="0" borderId="30" xfId="0" applyFill="1" applyBorder="1" applyAlignment="1">
      <alignment horizontal="left"/>
    </xf>
    <xf numFmtId="0" fontId="3" fillId="2" borderId="11" xfId="0" applyFont="1" applyFill="1" applyBorder="1" applyAlignment="1"/>
    <xf numFmtId="0" fontId="3" fillId="2" borderId="7" xfId="0" applyFont="1" applyFill="1" applyBorder="1"/>
    <xf numFmtId="0" fontId="3" fillId="7" borderId="13" xfId="0" applyFont="1" applyFill="1" applyBorder="1" applyAlignment="1">
      <alignment horizontal="left"/>
    </xf>
    <xf numFmtId="0" fontId="0" fillId="0" borderId="21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5" fillId="0" borderId="13" xfId="0" applyFont="1" applyBorder="1" applyAlignment="1"/>
    <xf numFmtId="0" fontId="7" fillId="0" borderId="0" xfId="0" applyFont="1" applyBorder="1"/>
    <xf numFmtId="0" fontId="3" fillId="0" borderId="25" xfId="0" applyFont="1" applyFill="1" applyBorder="1"/>
    <xf numFmtId="3" fontId="0" fillId="0" borderId="24" xfId="0" applyNumberFormat="1" applyBorder="1"/>
    <xf numFmtId="3" fontId="0" fillId="0" borderId="29" xfId="0" applyNumberFormat="1" applyBorder="1"/>
    <xf numFmtId="0" fontId="0" fillId="0" borderId="21" xfId="0" applyBorder="1" applyAlignment="1">
      <alignment horizontal="center"/>
    </xf>
    <xf numFmtId="0" fontId="0" fillId="0" borderId="30" xfId="0" applyFont="1" applyBorder="1"/>
    <xf numFmtId="0" fontId="3" fillId="5" borderId="47" xfId="0" applyFont="1" applyFill="1" applyBorder="1"/>
    <xf numFmtId="0" fontId="3" fillId="5" borderId="16" xfId="0" applyFont="1" applyFill="1" applyBorder="1"/>
    <xf numFmtId="0" fontId="3" fillId="0" borderId="13" xfId="0" applyFont="1" applyFill="1" applyBorder="1"/>
    <xf numFmtId="0" fontId="3" fillId="0" borderId="33" xfId="0" applyFont="1" applyFill="1" applyBorder="1"/>
    <xf numFmtId="0" fontId="3" fillId="0" borderId="16" xfId="0" applyFont="1" applyFill="1" applyBorder="1"/>
    <xf numFmtId="0" fontId="12" fillId="0" borderId="13" xfId="0" applyFont="1" applyBorder="1"/>
    <xf numFmtId="0" fontId="0" fillId="0" borderId="13" xfId="0" applyFont="1" applyBorder="1"/>
    <xf numFmtId="0" fontId="0" fillId="0" borderId="33" xfId="0" applyBorder="1"/>
    <xf numFmtId="0" fontId="0" fillId="0" borderId="5" xfId="0" applyBorder="1" applyAlignment="1">
      <alignment horizontal="center"/>
    </xf>
    <xf numFmtId="0" fontId="3" fillId="5" borderId="39" xfId="0" applyFont="1" applyFill="1" applyBorder="1" applyAlignment="1">
      <alignment horizontal="center"/>
    </xf>
    <xf numFmtId="0" fontId="3" fillId="0" borderId="50" xfId="0" applyFont="1" applyFill="1" applyBorder="1"/>
    <xf numFmtId="2" fontId="3" fillId="0" borderId="48" xfId="0" applyNumberFormat="1" applyFont="1" applyFill="1" applyBorder="1" applyAlignment="1">
      <alignment horizontal="center"/>
    </xf>
    <xf numFmtId="0" fontId="3" fillId="0" borderId="48" xfId="0" applyFont="1" applyFill="1" applyBorder="1" applyAlignment="1">
      <alignment horizontal="center"/>
    </xf>
    <xf numFmtId="4" fontId="5" fillId="0" borderId="6" xfId="0" applyNumberFormat="1" applyFont="1" applyBorder="1"/>
    <xf numFmtId="0" fontId="3" fillId="7" borderId="26" xfId="0" applyFont="1" applyFill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3" fillId="0" borderId="9" xfId="0" applyNumberFormat="1" applyFont="1" applyFill="1" applyBorder="1" applyAlignment="1">
      <alignment horizontal="right"/>
    </xf>
    <xf numFmtId="0" fontId="3" fillId="5" borderId="51" xfId="0" applyFont="1" applyFill="1" applyBorder="1"/>
    <xf numFmtId="0" fontId="3" fillId="5" borderId="29" xfId="0" applyFont="1" applyFill="1" applyBorder="1" applyAlignment="1">
      <alignment horizontal="center"/>
    </xf>
    <xf numFmtId="4" fontId="3" fillId="5" borderId="52" xfId="0" applyNumberFormat="1" applyFont="1" applyFill="1" applyBorder="1" applyAlignment="1">
      <alignment horizontal="right"/>
    </xf>
    <xf numFmtId="0" fontId="3" fillId="5" borderId="21" xfId="0" applyFont="1" applyFill="1" applyBorder="1"/>
    <xf numFmtId="0" fontId="3" fillId="5" borderId="5" xfId="0" applyFont="1" applyFill="1" applyBorder="1"/>
    <xf numFmtId="4" fontId="3" fillId="5" borderId="6" xfId="0" applyNumberFormat="1" applyFont="1" applyFill="1" applyBorder="1" applyAlignment="1">
      <alignment horizontal="right"/>
    </xf>
    <xf numFmtId="0" fontId="0" fillId="0" borderId="5" xfId="0" applyBorder="1"/>
    <xf numFmtId="14" fontId="0" fillId="0" borderId="6" xfId="0" applyNumberFormat="1" applyFill="1" applyBorder="1" applyAlignment="1">
      <alignment horizontal="center"/>
    </xf>
    <xf numFmtId="0" fontId="0" fillId="0" borderId="1" xfId="0" applyFill="1" applyBorder="1"/>
    <xf numFmtId="0" fontId="0" fillId="0" borderId="42" xfId="0" applyFill="1" applyBorder="1"/>
    <xf numFmtId="4" fontId="0" fillId="7" borderId="2" xfId="0" applyNumberForma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3" fillId="7" borderId="10" xfId="0" applyFont="1" applyFill="1" applyBorder="1"/>
    <xf numFmtId="0" fontId="3" fillId="7" borderId="11" xfId="0" applyFont="1" applyFill="1" applyBorder="1"/>
    <xf numFmtId="0" fontId="0" fillId="7" borderId="11" xfId="0" applyFill="1" applyBorder="1" applyAlignment="1">
      <alignment horizontal="center"/>
    </xf>
    <xf numFmtId="0" fontId="0" fillId="7" borderId="11" xfId="0" applyFill="1" applyBorder="1"/>
    <xf numFmtId="164" fontId="3" fillId="7" borderId="12" xfId="1" applyFont="1" applyFill="1" applyBorder="1"/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0" fontId="3" fillId="0" borderId="0" xfId="0" applyFont="1" applyProtection="1"/>
    <xf numFmtId="0" fontId="0" fillId="6" borderId="0" xfId="0" applyFill="1" applyProtection="1"/>
    <xf numFmtId="0" fontId="12" fillId="6" borderId="0" xfId="0" applyFont="1" applyFill="1" applyProtection="1"/>
    <xf numFmtId="0" fontId="0" fillId="6" borderId="25" xfId="0" applyFill="1" applyBorder="1" applyAlignment="1" applyProtection="1">
      <alignment horizontal="center"/>
    </xf>
    <xf numFmtId="0" fontId="0" fillId="6" borderId="20" xfId="0" applyFill="1" applyBorder="1" applyAlignment="1" applyProtection="1">
      <alignment horizontal="center"/>
    </xf>
    <xf numFmtId="0" fontId="0" fillId="6" borderId="21" xfId="0" applyFill="1" applyBorder="1" applyAlignment="1" applyProtection="1">
      <alignment horizontal="center"/>
    </xf>
    <xf numFmtId="0" fontId="0" fillId="6" borderId="25" xfId="0" applyFill="1" applyBorder="1" applyProtection="1"/>
    <xf numFmtId="0" fontId="0" fillId="6" borderId="44" xfId="0" applyFill="1" applyBorder="1" applyProtection="1"/>
    <xf numFmtId="3" fontId="0" fillId="6" borderId="25" xfId="0" applyNumberFormat="1" applyFill="1" applyBorder="1" applyProtection="1"/>
    <xf numFmtId="3" fontId="0" fillId="6" borderId="27" xfId="0" applyNumberFormat="1" applyFill="1" applyBorder="1" applyProtection="1"/>
    <xf numFmtId="0" fontId="0" fillId="6" borderId="28" xfId="0" applyFill="1" applyBorder="1" applyProtection="1"/>
    <xf numFmtId="3" fontId="0" fillId="6" borderId="46" xfId="0" applyNumberFormat="1" applyFill="1" applyBorder="1" applyProtection="1"/>
    <xf numFmtId="3" fontId="0" fillId="6" borderId="28" xfId="0" applyNumberFormat="1" applyFill="1" applyBorder="1" applyProtection="1"/>
    <xf numFmtId="3" fontId="0" fillId="6" borderId="29" xfId="0" applyNumberFormat="1" applyFill="1" applyBorder="1" applyProtection="1"/>
    <xf numFmtId="0" fontId="0" fillId="6" borderId="23" xfId="0" applyFill="1" applyBorder="1" applyProtection="1"/>
    <xf numFmtId="3" fontId="0" fillId="6" borderId="44" xfId="0" applyNumberFormat="1" applyFill="1" applyBorder="1" applyProtection="1"/>
    <xf numFmtId="3" fontId="0" fillId="6" borderId="0" xfId="0" applyNumberFormat="1" applyFill="1" applyBorder="1" applyProtection="1"/>
    <xf numFmtId="3" fontId="0" fillId="6" borderId="24" xfId="0" applyNumberFormat="1" applyFill="1" applyBorder="1" applyProtection="1"/>
    <xf numFmtId="3" fontId="0" fillId="6" borderId="45" xfId="0" applyNumberFormat="1" applyFill="1" applyBorder="1" applyProtection="1"/>
    <xf numFmtId="3" fontId="0" fillId="6" borderId="2" xfId="0" applyNumberFormat="1" applyFill="1" applyBorder="1" applyProtection="1"/>
    <xf numFmtId="0" fontId="9" fillId="6" borderId="0" xfId="0" applyFont="1" applyFill="1" applyProtection="1"/>
    <xf numFmtId="0" fontId="0" fillId="6" borderId="0" xfId="0" applyFill="1" applyBorder="1" applyProtection="1"/>
    <xf numFmtId="0" fontId="0" fillId="6" borderId="27" xfId="0" applyFill="1" applyBorder="1" applyAlignment="1" applyProtection="1">
      <alignment horizontal="center"/>
    </xf>
    <xf numFmtId="3" fontId="0" fillId="6" borderId="26" xfId="0" applyNumberFormat="1" applyFill="1" applyBorder="1" applyProtection="1"/>
    <xf numFmtId="3" fontId="0" fillId="8" borderId="24" xfId="0" applyNumberFormat="1" applyFill="1" applyBorder="1" applyProtection="1"/>
    <xf numFmtId="3" fontId="0" fillId="8" borderId="29" xfId="0" applyNumberFormat="1" applyFill="1" applyBorder="1" applyProtection="1"/>
    <xf numFmtId="0" fontId="18" fillId="9" borderId="53" xfId="0" applyFont="1" applyFill="1" applyBorder="1" applyAlignment="1">
      <alignment horizontal="left" vertical="center"/>
    </xf>
    <xf numFmtId="0" fontId="18" fillId="9" borderId="54" xfId="0" applyFont="1" applyFill="1" applyBorder="1" applyAlignment="1">
      <alignment horizontal="left" vertical="center"/>
    </xf>
    <xf numFmtId="0" fontId="19" fillId="10" borderId="55" xfId="0" applyFont="1" applyFill="1" applyBorder="1" applyAlignment="1">
      <alignment horizontal="right" vertical="center"/>
    </xf>
    <xf numFmtId="0" fontId="19" fillId="10" borderId="55" xfId="0" applyFont="1" applyFill="1" applyBorder="1" applyAlignment="1">
      <alignment horizontal="left" vertical="center"/>
    </xf>
    <xf numFmtId="4" fontId="19" fillId="10" borderId="55" xfId="0" applyNumberFormat="1" applyFont="1" applyFill="1" applyBorder="1" applyAlignment="1">
      <alignment horizontal="right" vertical="center"/>
    </xf>
    <xf numFmtId="0" fontId="20" fillId="10" borderId="0" xfId="0" applyFont="1" applyFill="1" applyBorder="1" applyAlignment="1">
      <alignment horizontal="left" vertical="top"/>
    </xf>
    <xf numFmtId="3" fontId="3" fillId="2" borderId="14" xfId="0" applyNumberFormat="1" applyFont="1" applyFill="1" applyBorder="1" applyAlignment="1"/>
    <xf numFmtId="1" fontId="3" fillId="0" borderId="26" xfId="0" applyNumberFormat="1" applyFont="1" applyBorder="1"/>
    <xf numFmtId="0" fontId="18" fillId="9" borderId="56" xfId="0" applyFont="1" applyFill="1" applyBorder="1" applyAlignment="1">
      <alignment horizontal="left" vertical="center"/>
    </xf>
    <xf numFmtId="0" fontId="19" fillId="10" borderId="57" xfId="0" applyFont="1" applyFill="1" applyBorder="1" applyAlignment="1">
      <alignment horizontal="right" vertical="center"/>
    </xf>
    <xf numFmtId="0" fontId="19" fillId="10" borderId="58" xfId="0" applyFont="1" applyFill="1" applyBorder="1" applyAlignment="1">
      <alignment horizontal="left" vertical="center"/>
    </xf>
    <xf numFmtId="4" fontId="19" fillId="10" borderId="57" xfId="0" applyNumberFormat="1" applyFont="1" applyFill="1" applyBorder="1" applyAlignment="1">
      <alignment horizontal="right" vertical="center"/>
    </xf>
    <xf numFmtId="0" fontId="20" fillId="10" borderId="23" xfId="0" applyFont="1" applyFill="1" applyBorder="1" applyAlignment="1">
      <alignment horizontal="left" vertical="top"/>
    </xf>
    <xf numFmtId="0" fontId="20" fillId="10" borderId="24" xfId="0" applyFont="1" applyFill="1" applyBorder="1" applyAlignment="1">
      <alignment horizontal="left" vertical="top"/>
    </xf>
    <xf numFmtId="0" fontId="20" fillId="10" borderId="28" xfId="0" applyFont="1" applyFill="1" applyBorder="1" applyAlignment="1">
      <alignment horizontal="left" vertical="top"/>
    </xf>
    <xf numFmtId="0" fontId="20" fillId="10" borderId="2" xfId="0" applyFont="1" applyFill="1" applyBorder="1" applyAlignment="1">
      <alignment horizontal="left" vertical="top"/>
    </xf>
    <xf numFmtId="0" fontId="20" fillId="10" borderId="29" xfId="0" applyFont="1" applyFill="1" applyBorder="1" applyAlignment="1">
      <alignment horizontal="left" vertical="top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0" borderId="6" xfId="0" applyNumberFormat="1" applyFill="1" applyBorder="1" applyAlignment="1">
      <alignment horizontal="center"/>
    </xf>
    <xf numFmtId="0" fontId="3" fillId="7" borderId="18" xfId="0" applyFont="1" applyFill="1" applyBorder="1" applyAlignment="1">
      <alignment horizontal="left"/>
    </xf>
    <xf numFmtId="0" fontId="3" fillId="7" borderId="2" xfId="0" applyFont="1" applyFill="1" applyBorder="1" applyAlignment="1">
      <alignment horizontal="left"/>
    </xf>
    <xf numFmtId="0" fontId="0" fillId="7" borderId="9" xfId="0" applyFill="1" applyBorder="1"/>
    <xf numFmtId="0" fontId="6" fillId="0" borderId="26" xfId="0" applyFont="1" applyBorder="1" applyAlignment="1">
      <alignment horizontal="right"/>
    </xf>
    <xf numFmtId="4" fontId="6" fillId="0" borderId="26" xfId="0" applyNumberFormat="1" applyFont="1" applyBorder="1" applyAlignment="1"/>
    <xf numFmtId="0" fontId="6" fillId="0" borderId="0" xfId="0" applyFont="1"/>
    <xf numFmtId="3" fontId="3" fillId="2" borderId="34" xfId="0" applyNumberFormat="1" applyFont="1" applyFill="1" applyBorder="1" applyAlignment="1"/>
    <xf numFmtId="9" fontId="3" fillId="0" borderId="31" xfId="2" applyFont="1" applyFill="1" applyBorder="1" applyAlignment="1" applyProtection="1">
      <alignment horizontal="center"/>
      <protection locked="0"/>
    </xf>
    <xf numFmtId="0" fontId="0" fillId="3" borderId="2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14" fontId="0" fillId="3" borderId="1" xfId="0" applyNumberFormat="1" applyFill="1" applyBorder="1" applyAlignment="1" applyProtection="1">
      <alignment horizontal="center"/>
      <protection locked="0"/>
    </xf>
    <xf numFmtId="0" fontId="0" fillId="0" borderId="13" xfId="0" applyFont="1" applyBorder="1" applyAlignment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0" borderId="1" xfId="0" applyNumberForma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" fontId="3" fillId="0" borderId="13" xfId="0" applyNumberFormat="1" applyFont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Alignment="1" applyProtection="1">
      <alignment horizontal="center"/>
      <protection locked="0"/>
    </xf>
    <xf numFmtId="4" fontId="0" fillId="0" borderId="21" xfId="0" applyNumberFormat="1" applyFill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21" xfId="0" applyFont="1" applyBorder="1" applyAlignment="1" applyProtection="1">
      <alignment horizontal="center"/>
      <protection locked="0"/>
    </xf>
    <xf numFmtId="0" fontId="0" fillId="3" borderId="30" xfId="0" applyFont="1" applyFill="1" applyBorder="1" applyAlignment="1" applyProtection="1">
      <protection locked="0"/>
    </xf>
    <xf numFmtId="0" fontId="0" fillId="3" borderId="13" xfId="0" applyFont="1" applyFill="1" applyBorder="1" applyAlignment="1" applyProtection="1">
      <protection locked="0"/>
    </xf>
    <xf numFmtId="4" fontId="0" fillId="3" borderId="6" xfId="0" applyNumberFormat="1" applyFill="1" applyBorder="1" applyProtection="1">
      <protection locked="0"/>
    </xf>
    <xf numFmtId="0" fontId="3" fillId="3" borderId="21" xfId="0" applyFont="1" applyFill="1" applyBorder="1" applyAlignment="1" applyProtection="1">
      <alignment horizontal="center"/>
      <protection locked="0"/>
    </xf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Fill="1" applyBorder="1"/>
    <xf numFmtId="0" fontId="0" fillId="0" borderId="0" xfId="0" applyAlignment="1">
      <alignment horizontal="left"/>
    </xf>
    <xf numFmtId="0" fontId="21" fillId="0" borderId="0" xfId="0" applyFont="1"/>
    <xf numFmtId="0" fontId="0" fillId="3" borderId="1" xfId="0" applyFill="1" applyBorder="1" applyAlignment="1" applyProtection="1">
      <alignment horizontal="left"/>
      <protection locked="0"/>
    </xf>
    <xf numFmtId="0" fontId="3" fillId="7" borderId="21" xfId="0" applyFont="1" applyFill="1" applyBorder="1" applyAlignment="1">
      <alignment horizontal="center"/>
    </xf>
    <xf numFmtId="0" fontId="0" fillId="4" borderId="25" xfId="0" applyFill="1" applyBorder="1"/>
    <xf numFmtId="0" fontId="0" fillId="4" borderId="26" xfId="0" applyFill="1" applyBorder="1"/>
    <xf numFmtId="0" fontId="0" fillId="4" borderId="27" xfId="0" applyFill="1" applyBorder="1"/>
    <xf numFmtId="0" fontId="0" fillId="4" borderId="0" xfId="0" applyFill="1" applyBorder="1"/>
    <xf numFmtId="2" fontId="0" fillId="4" borderId="0" xfId="0" applyNumberFormat="1" applyFill="1" applyBorder="1"/>
    <xf numFmtId="4" fontId="0" fillId="0" borderId="21" xfId="0" applyNumberFormat="1" applyBorder="1"/>
    <xf numFmtId="0" fontId="0" fillId="0" borderId="21" xfId="0" applyFill="1" applyBorder="1"/>
    <xf numFmtId="0" fontId="0" fillId="0" borderId="41" xfId="0" applyFill="1" applyBorder="1"/>
    <xf numFmtId="2" fontId="3" fillId="0" borderId="50" xfId="0" applyNumberFormat="1" applyFont="1" applyFill="1" applyBorder="1" applyAlignment="1">
      <alignment horizontal="center"/>
    </xf>
    <xf numFmtId="0" fontId="3" fillId="5" borderId="13" xfId="0" applyFont="1" applyFill="1" applyBorder="1"/>
    <xf numFmtId="0" fontId="3" fillId="5" borderId="2" xfId="0" applyFont="1" applyFill="1" applyBorder="1"/>
    <xf numFmtId="0" fontId="3" fillId="5" borderId="2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50" xfId="0" applyFont="1" applyFill="1" applyBorder="1" applyAlignment="1">
      <alignment horizontal="center"/>
    </xf>
    <xf numFmtId="0" fontId="0" fillId="0" borderId="21" xfId="0" applyFill="1" applyBorder="1" applyAlignment="1" applyProtection="1">
      <alignment horizontal="center"/>
    </xf>
    <xf numFmtId="0" fontId="0" fillId="6" borderId="20" xfId="0" applyFill="1" applyBorder="1" applyAlignment="1" applyProtection="1">
      <alignment horizontal="center"/>
    </xf>
    <xf numFmtId="0" fontId="0" fillId="6" borderId="21" xfId="0" applyFill="1" applyBorder="1" applyAlignment="1" applyProtection="1">
      <alignment horizontal="center"/>
    </xf>
    <xf numFmtId="0" fontId="0" fillId="3" borderId="20" xfId="0" applyFill="1" applyBorder="1" applyAlignment="1" applyProtection="1">
      <alignment horizontal="left" wrapText="1"/>
      <protection locked="0"/>
    </xf>
    <xf numFmtId="0" fontId="0" fillId="3" borderId="13" xfId="0" applyFill="1" applyBorder="1" applyAlignment="1" applyProtection="1">
      <alignment horizontal="left" wrapText="1"/>
      <protection locked="0"/>
    </xf>
    <xf numFmtId="0" fontId="0" fillId="3" borderId="14" xfId="0" applyFill="1" applyBorder="1" applyAlignment="1" applyProtection="1">
      <alignment horizontal="left" wrapText="1"/>
      <protection locked="0"/>
    </xf>
    <xf numFmtId="0" fontId="3" fillId="7" borderId="15" xfId="0" applyFont="1" applyFill="1" applyBorder="1" applyAlignment="1">
      <alignment horizontal="left"/>
    </xf>
    <xf numFmtId="0" fontId="3" fillId="7" borderId="16" xfId="0" applyFont="1" applyFill="1" applyBorder="1" applyAlignment="1">
      <alignment horizontal="left"/>
    </xf>
    <xf numFmtId="0" fontId="3" fillId="7" borderId="17" xfId="0" applyFont="1" applyFill="1" applyBorder="1" applyAlignment="1">
      <alignment horizontal="left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20" xfId="0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horizontal="left"/>
      <protection locked="0"/>
    </xf>
    <xf numFmtId="0" fontId="3" fillId="7" borderId="20" xfId="0" applyFont="1" applyFill="1" applyBorder="1" applyAlignment="1">
      <alignment horizontal="center"/>
    </xf>
    <xf numFmtId="0" fontId="3" fillId="7" borderId="21" xfId="0" applyFont="1" applyFill="1" applyBorder="1" applyAlignment="1">
      <alignment horizontal="center"/>
    </xf>
    <xf numFmtId="0" fontId="0" fillId="3" borderId="20" xfId="0" applyFill="1" applyBorder="1" applyAlignment="1">
      <alignment horizontal="left"/>
    </xf>
    <xf numFmtId="0" fontId="0" fillId="3" borderId="13" xfId="0" applyFill="1" applyBorder="1" applyAlignment="1">
      <alignment horizontal="left"/>
    </xf>
    <xf numFmtId="0" fontId="0" fillId="3" borderId="14" xfId="0" applyFill="1" applyBorder="1" applyAlignment="1">
      <alignment horizontal="left"/>
    </xf>
    <xf numFmtId="0" fontId="17" fillId="5" borderId="16" xfId="0" applyFont="1" applyFill="1" applyBorder="1" applyAlignment="1">
      <alignment horizontal="left" wrapText="1"/>
    </xf>
    <xf numFmtId="0" fontId="17" fillId="5" borderId="17" xfId="0" applyFont="1" applyFill="1" applyBorder="1" applyAlignment="1">
      <alignment horizontal="left" wrapText="1"/>
    </xf>
    <xf numFmtId="0" fontId="17" fillId="0" borderId="13" xfId="0" applyFont="1" applyFill="1" applyBorder="1" applyAlignment="1">
      <alignment horizontal="left" wrapText="1"/>
    </xf>
    <xf numFmtId="0" fontId="17" fillId="0" borderId="14" xfId="0" applyFont="1" applyFill="1" applyBorder="1" applyAlignment="1">
      <alignment horizontal="left" wrapText="1"/>
    </xf>
    <xf numFmtId="0" fontId="17" fillId="0" borderId="33" xfId="0" applyFont="1" applyFill="1" applyBorder="1" applyAlignment="1">
      <alignment horizontal="left"/>
    </xf>
    <xf numFmtId="0" fontId="17" fillId="0" borderId="34" xfId="0" applyFont="1" applyFill="1" applyBorder="1" applyAlignment="1">
      <alignment horizontal="left"/>
    </xf>
    <xf numFmtId="0" fontId="0" fillId="0" borderId="23" xfId="0" applyFill="1" applyBorder="1"/>
    <xf numFmtId="3" fontId="0" fillId="0" borderId="24" xfId="0" applyNumberFormat="1" applyFill="1" applyBorder="1"/>
    <xf numFmtId="2" fontId="0" fillId="0" borderId="0" xfId="0" applyNumberFormat="1"/>
    <xf numFmtId="2" fontId="0" fillId="0" borderId="2" xfId="0" applyNumberFormat="1" applyBorder="1"/>
  </cellXfs>
  <cellStyles count="4">
    <cellStyle name="Komma" xfId="1" builtinId="3"/>
    <cellStyle name="Normal" xfId="0" builtinId="0"/>
    <cellStyle name="Procent" xfId="2" builtinId="5"/>
    <cellStyle name="Valuta" xfId="3" builtin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E4" sqref="E4"/>
    </sheetView>
  </sheetViews>
  <sheetFormatPr defaultColWidth="9.140625" defaultRowHeight="15" x14ac:dyDescent="0.25"/>
  <cols>
    <col min="1" max="1" width="9.140625" style="208"/>
    <col min="2" max="2" width="39.140625" style="208" customWidth="1"/>
    <col min="3" max="16384" width="9.140625" style="208"/>
  </cols>
  <sheetData>
    <row r="1" spans="1:10" x14ac:dyDescent="0.25">
      <c r="A1" s="210" t="s">
        <v>37</v>
      </c>
      <c r="B1" s="211"/>
      <c r="C1" s="211"/>
      <c r="D1" s="211"/>
      <c r="E1" s="211"/>
      <c r="F1" s="211"/>
    </row>
    <row r="2" spans="1:10" x14ac:dyDescent="0.25">
      <c r="A2" s="211"/>
      <c r="B2" s="212"/>
      <c r="C2" s="211"/>
      <c r="D2" s="307" t="s">
        <v>34</v>
      </c>
      <c r="E2" s="308"/>
      <c r="F2" s="211"/>
    </row>
    <row r="3" spans="1:10" x14ac:dyDescent="0.25">
      <c r="A3" s="211"/>
      <c r="B3" s="211"/>
      <c r="C3" s="213" t="s">
        <v>38</v>
      </c>
      <c r="D3" s="214" t="s">
        <v>12</v>
      </c>
      <c r="E3" s="215" t="s">
        <v>35</v>
      </c>
      <c r="F3" s="211"/>
    </row>
    <row r="4" spans="1:10" x14ac:dyDescent="0.25">
      <c r="A4" s="211"/>
      <c r="B4" s="216" t="s">
        <v>39</v>
      </c>
      <c r="C4" s="217">
        <v>501</v>
      </c>
      <c r="D4" s="218">
        <f>ROUNDUP(C4*'Basis oplysn.'!$C$2,0)</f>
        <v>250</v>
      </c>
      <c r="E4" s="219">
        <f>ROUNDDOWN(C4*'Basis oplysn.'!$D$2,0)</f>
        <v>100</v>
      </c>
      <c r="F4" s="211"/>
      <c r="I4" s="209"/>
      <c r="J4" s="209"/>
    </row>
    <row r="5" spans="1:10" x14ac:dyDescent="0.25">
      <c r="A5" s="211"/>
      <c r="B5" s="220" t="s">
        <v>40</v>
      </c>
      <c r="C5" s="221">
        <v>36072</v>
      </c>
      <c r="D5" s="222">
        <f>ROUNDUP(C5*'Basis oplysn.'!$C$2,0)</f>
        <v>17995</v>
      </c>
      <c r="E5" s="223">
        <f>ROUNDDOWN(C5*'Basis oplysn.'!$D$2,0)</f>
        <v>7214</v>
      </c>
      <c r="F5" s="211"/>
      <c r="I5" s="209"/>
      <c r="J5" s="209"/>
    </row>
    <row r="6" spans="1:10" x14ac:dyDescent="0.25">
      <c r="A6" s="211"/>
      <c r="B6" s="224" t="s">
        <v>41</v>
      </c>
      <c r="C6" s="225">
        <v>370</v>
      </c>
      <c r="D6" s="226">
        <f>ROUNDUP(C6*'Basis oplysn.'!$C$2,0)</f>
        <v>185</v>
      </c>
      <c r="E6" s="227">
        <f>ROUNDDOWN(C6*'Basis oplysn.'!$D$2,0)</f>
        <v>74</v>
      </c>
      <c r="F6" s="211"/>
      <c r="I6" s="209"/>
      <c r="J6" s="209"/>
    </row>
    <row r="7" spans="1:10" x14ac:dyDescent="0.25">
      <c r="A7" s="211"/>
      <c r="B7" s="224" t="s">
        <v>42</v>
      </c>
      <c r="C7" s="221">
        <v>800</v>
      </c>
      <c r="D7" s="226">
        <f>ROUNDUP(C7*'Basis oplysn.'!$C$2,0)</f>
        <v>400</v>
      </c>
      <c r="E7" s="227">
        <f>ROUNDDOWN(C7*'Basis oplysn.'!$D$2,0)</f>
        <v>160</v>
      </c>
      <c r="F7" s="211"/>
      <c r="I7" s="209"/>
      <c r="J7" s="209"/>
    </row>
    <row r="8" spans="1:10" x14ac:dyDescent="0.25">
      <c r="A8" s="211"/>
      <c r="B8" s="220" t="s">
        <v>43</v>
      </c>
      <c r="C8" s="228">
        <v>1820</v>
      </c>
      <c r="D8" s="229">
        <f>ROUNDUP(C8*'Basis oplysn.'!$C$2,0)</f>
        <v>908</v>
      </c>
      <c r="E8" s="223">
        <f>ROUNDDOWN(C8*'Basis oplysn.'!$D$2,0)</f>
        <v>364</v>
      </c>
      <c r="F8" s="211"/>
      <c r="I8" s="209"/>
      <c r="J8" s="209"/>
    </row>
    <row r="9" spans="1:10" x14ac:dyDescent="0.25">
      <c r="A9" s="211"/>
      <c r="B9" s="230" t="s">
        <v>44</v>
      </c>
      <c r="C9" s="226"/>
      <c r="D9" s="226"/>
      <c r="E9" s="226"/>
      <c r="F9" s="211"/>
      <c r="I9" s="209"/>
      <c r="J9" s="209"/>
    </row>
    <row r="10" spans="1:10" x14ac:dyDescent="0.25">
      <c r="A10" s="211"/>
      <c r="B10" s="230"/>
      <c r="C10" s="226"/>
      <c r="D10" s="226"/>
      <c r="E10" s="226"/>
      <c r="F10" s="211"/>
      <c r="I10" s="209"/>
      <c r="J10" s="209"/>
    </row>
    <row r="11" spans="1:10" x14ac:dyDescent="0.25">
      <c r="A11" s="211"/>
      <c r="B11" s="231" t="s">
        <v>45</v>
      </c>
      <c r="C11" s="226"/>
      <c r="D11" s="213" t="s">
        <v>12</v>
      </c>
      <c r="E11" s="232" t="s">
        <v>35</v>
      </c>
      <c r="F11" s="211"/>
      <c r="I11" s="209"/>
      <c r="J11" s="209"/>
    </row>
    <row r="12" spans="1:10" x14ac:dyDescent="0.25">
      <c r="A12" s="211"/>
      <c r="B12" s="216" t="s">
        <v>46</v>
      </c>
      <c r="C12" s="219"/>
      <c r="D12" s="233">
        <f>ROUNDUP('Basis oplysn.'!C5,0)</f>
        <v>269</v>
      </c>
      <c r="E12" s="219">
        <f>ROUNDDOWN('Basis oplysn.'!D5,0)</f>
        <v>103</v>
      </c>
      <c r="F12" s="211"/>
      <c r="I12" s="209"/>
      <c r="J12" s="209"/>
    </row>
    <row r="13" spans="1:10" x14ac:dyDescent="0.25">
      <c r="A13" s="211"/>
      <c r="B13" s="224" t="s">
        <v>47</v>
      </c>
      <c r="C13" s="227"/>
      <c r="D13" s="226">
        <f>ROUNDUP('Basis oplysn.'!C6,0)</f>
        <v>51</v>
      </c>
      <c r="E13" s="227">
        <f>ROUNDDOWN('Basis oplysn.'!D6,0)</f>
        <v>41</v>
      </c>
      <c r="F13" s="211"/>
      <c r="I13" s="209"/>
      <c r="J13" s="209"/>
    </row>
    <row r="14" spans="1:10" x14ac:dyDescent="0.25">
      <c r="A14" s="211"/>
      <c r="B14" s="224" t="s">
        <v>48</v>
      </c>
      <c r="C14" s="227"/>
      <c r="D14" s="226">
        <f>ROUNDUP('Basis oplysn.'!C7,0)</f>
        <v>772</v>
      </c>
      <c r="E14" s="234"/>
      <c r="F14" s="211"/>
      <c r="I14" s="209"/>
      <c r="J14" s="209"/>
    </row>
    <row r="15" spans="1:10" x14ac:dyDescent="0.25">
      <c r="A15" s="211"/>
      <c r="B15" s="220" t="s">
        <v>49</v>
      </c>
      <c r="C15" s="223"/>
      <c r="D15" s="229">
        <f>ROUNDUP('Basis oplysn.'!C8,0)</f>
        <v>1974</v>
      </c>
      <c r="E15" s="235"/>
      <c r="F15" s="211"/>
      <c r="I15" s="209"/>
      <c r="J15" s="209"/>
    </row>
    <row r="16" spans="1:10" x14ac:dyDescent="0.25">
      <c r="A16" s="211"/>
      <c r="B16" s="211"/>
      <c r="C16" s="211"/>
      <c r="D16" s="211"/>
      <c r="E16" s="211"/>
      <c r="F16" s="211"/>
      <c r="I16" s="209"/>
      <c r="J16" s="209"/>
    </row>
  </sheetData>
  <sheetProtection sheet="1" objects="1" scenarios="1"/>
  <mergeCells count="1">
    <mergeCell ref="D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>
      <selection activeCell="A32" sqref="A32"/>
    </sheetView>
  </sheetViews>
  <sheetFormatPr defaultRowHeight="15" x14ac:dyDescent="0.25"/>
  <cols>
    <col min="1" max="1" width="60.42578125" bestFit="1" customWidth="1"/>
    <col min="2" max="2" width="39.5703125" bestFit="1" customWidth="1"/>
    <col min="3" max="3" width="15.140625" bestFit="1" customWidth="1"/>
  </cols>
  <sheetData>
    <row r="1" spans="1:3" s="1" customFormat="1" x14ac:dyDescent="0.25">
      <c r="A1" s="1" t="s">
        <v>164</v>
      </c>
      <c r="B1" s="1" t="s">
        <v>0</v>
      </c>
      <c r="C1" s="1" t="s">
        <v>57</v>
      </c>
    </row>
    <row r="2" spans="1:3" x14ac:dyDescent="0.25">
      <c r="A2" s="284" t="s">
        <v>165</v>
      </c>
      <c r="B2" s="284" t="s">
        <v>166</v>
      </c>
      <c r="C2" s="284" t="s">
        <v>167</v>
      </c>
    </row>
    <row r="3" spans="1:3" x14ac:dyDescent="0.25">
      <c r="A3" s="284" t="s">
        <v>170</v>
      </c>
      <c r="B3" s="285" t="s">
        <v>168</v>
      </c>
      <c r="C3" s="284" t="s">
        <v>169</v>
      </c>
    </row>
    <row r="4" spans="1:3" x14ac:dyDescent="0.25">
      <c r="A4" t="s">
        <v>173</v>
      </c>
      <c r="B4" t="s">
        <v>171</v>
      </c>
      <c r="C4" t="s">
        <v>172</v>
      </c>
    </row>
    <row r="5" spans="1:3" x14ac:dyDescent="0.25">
      <c r="A5" s="61" t="s">
        <v>176</v>
      </c>
      <c r="B5" s="61" t="s">
        <v>177</v>
      </c>
      <c r="C5" s="61" t="s">
        <v>178</v>
      </c>
    </row>
    <row r="6" spans="1:3" x14ac:dyDescent="0.25">
      <c r="A6" s="61" t="s">
        <v>179</v>
      </c>
      <c r="B6" s="61" t="s">
        <v>166</v>
      </c>
      <c r="C6" s="61" t="s">
        <v>180</v>
      </c>
    </row>
    <row r="7" spans="1:3" x14ac:dyDescent="0.25">
      <c r="A7" s="61" t="s">
        <v>181</v>
      </c>
      <c r="B7" s="61" t="s">
        <v>182</v>
      </c>
      <c r="C7" s="61" t="s">
        <v>183</v>
      </c>
    </row>
    <row r="8" spans="1:3" x14ac:dyDescent="0.25">
      <c r="A8" s="61" t="s">
        <v>181</v>
      </c>
      <c r="B8" s="61" t="s">
        <v>184</v>
      </c>
      <c r="C8" s="61" t="s">
        <v>185</v>
      </c>
    </row>
    <row r="9" spans="1:3" x14ac:dyDescent="0.25">
      <c r="A9" s="61" t="s">
        <v>186</v>
      </c>
      <c r="B9" s="61" t="s">
        <v>187</v>
      </c>
      <c r="C9" s="61" t="s">
        <v>188</v>
      </c>
    </row>
    <row r="10" spans="1:3" x14ac:dyDescent="0.25">
      <c r="A10" s="61" t="s">
        <v>189</v>
      </c>
      <c r="B10" s="61" t="s">
        <v>190</v>
      </c>
      <c r="C10" s="61" t="s">
        <v>191</v>
      </c>
    </row>
    <row r="11" spans="1:3" x14ac:dyDescent="0.25">
      <c r="A11" s="61" t="s">
        <v>181</v>
      </c>
      <c r="B11" s="61" t="s">
        <v>192</v>
      </c>
      <c r="C11" s="61" t="s">
        <v>193</v>
      </c>
    </row>
    <row r="12" spans="1:3" x14ac:dyDescent="0.25">
      <c r="A12" s="61" t="s">
        <v>181</v>
      </c>
      <c r="B12" s="61" t="s">
        <v>194</v>
      </c>
      <c r="C12" s="61" t="s">
        <v>195</v>
      </c>
    </row>
    <row r="13" spans="1:3" x14ac:dyDescent="0.25">
      <c r="A13" s="61" t="s">
        <v>181</v>
      </c>
      <c r="B13" s="61" t="s">
        <v>196</v>
      </c>
      <c r="C13" s="284" t="s">
        <v>197</v>
      </c>
    </row>
    <row r="14" spans="1:3" x14ac:dyDescent="0.25">
      <c r="A14" t="s">
        <v>198</v>
      </c>
      <c r="B14" t="s">
        <v>199</v>
      </c>
      <c r="C14" t="s">
        <v>200</v>
      </c>
    </row>
    <row r="15" spans="1:3" x14ac:dyDescent="0.25">
      <c r="A15" t="s">
        <v>201</v>
      </c>
      <c r="B15" s="286" t="s">
        <v>203</v>
      </c>
      <c r="C15" s="286" t="s">
        <v>202</v>
      </c>
    </row>
    <row r="16" spans="1:3" x14ac:dyDescent="0.25">
      <c r="A16" t="s">
        <v>205</v>
      </c>
      <c r="B16" t="s">
        <v>204</v>
      </c>
      <c r="C16" s="287">
        <v>53259</v>
      </c>
    </row>
    <row r="17" spans="1:3" x14ac:dyDescent="0.25">
      <c r="A17" t="s">
        <v>207</v>
      </c>
      <c r="B17" t="s">
        <v>208</v>
      </c>
      <c r="C17" s="28" t="s">
        <v>209</v>
      </c>
    </row>
    <row r="18" spans="1:3" x14ac:dyDescent="0.25">
      <c r="A18" s="288" t="s">
        <v>215</v>
      </c>
      <c r="B18" s="288" t="s">
        <v>210</v>
      </c>
      <c r="C18" s="288" t="s">
        <v>211</v>
      </c>
    </row>
    <row r="19" spans="1:3" x14ac:dyDescent="0.25">
      <c r="A19" t="s">
        <v>212</v>
      </c>
      <c r="B19" t="s">
        <v>213</v>
      </c>
      <c r="C19" t="s">
        <v>214</v>
      </c>
    </row>
    <row r="20" spans="1:3" x14ac:dyDescent="0.25">
      <c r="A20" t="s">
        <v>181</v>
      </c>
      <c r="B20" t="s">
        <v>228</v>
      </c>
      <c r="C20" t="s">
        <v>229</v>
      </c>
    </row>
    <row r="21" spans="1:3" x14ac:dyDescent="0.25">
      <c r="A21" s="61" t="s">
        <v>181</v>
      </c>
      <c r="B21" t="s">
        <v>230</v>
      </c>
      <c r="C21" s="61" t="s">
        <v>211</v>
      </c>
    </row>
    <row r="22" spans="1:3" x14ac:dyDescent="0.25">
      <c r="A22" t="s">
        <v>232</v>
      </c>
      <c r="B22" t="s">
        <v>231</v>
      </c>
      <c r="C22" s="287">
        <v>33145</v>
      </c>
    </row>
    <row r="23" spans="1:3" x14ac:dyDescent="0.25">
      <c r="A23" t="s">
        <v>233</v>
      </c>
      <c r="B23" t="s">
        <v>234</v>
      </c>
      <c r="C23" s="287">
        <v>46919</v>
      </c>
    </row>
    <row r="24" spans="1:3" x14ac:dyDescent="0.25">
      <c r="A24" t="s">
        <v>236</v>
      </c>
      <c r="B24" t="s">
        <v>235</v>
      </c>
      <c r="C24" t="s">
        <v>197</v>
      </c>
    </row>
  </sheetData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tabSelected="1" zoomScale="106" zoomScaleNormal="106" workbookViewId="0">
      <selection activeCell="D2" sqref="D2"/>
    </sheetView>
  </sheetViews>
  <sheetFormatPr defaultRowHeight="15" outlineLevelRow="1" x14ac:dyDescent="0.25"/>
  <cols>
    <col min="1" max="1" width="4" customWidth="1"/>
    <col min="2" max="2" width="9.5703125" style="61" customWidth="1"/>
    <col min="3" max="3" width="20.85546875" style="61" customWidth="1"/>
    <col min="4" max="4" width="8.5703125" style="61" customWidth="1"/>
    <col min="5" max="5" width="13.28515625" customWidth="1"/>
    <col min="6" max="7" width="13.28515625" style="2" customWidth="1"/>
    <col min="8" max="8" width="13.28515625" customWidth="1"/>
    <col min="9" max="9" width="13.140625" customWidth="1"/>
    <col min="10" max="10" width="14.42578125" customWidth="1"/>
    <col min="11" max="11" width="9.85546875" bestFit="1" customWidth="1"/>
    <col min="14" max="14" width="14.7109375" bestFit="1" customWidth="1"/>
  </cols>
  <sheetData>
    <row r="1" spans="1:17" ht="15.75" thickBot="1" x14ac:dyDescent="0.3">
      <c r="A1" s="1" t="s">
        <v>7</v>
      </c>
      <c r="B1" s="1"/>
      <c r="C1" s="1"/>
      <c r="D1" s="1"/>
      <c r="E1" s="1"/>
    </row>
    <row r="2" spans="1:17" ht="18.75" x14ac:dyDescent="0.3">
      <c r="A2" s="106" t="s">
        <v>36</v>
      </c>
      <c r="B2" s="107"/>
      <c r="C2" s="107"/>
      <c r="D2" s="107"/>
      <c r="E2" s="107"/>
      <c r="F2" s="108"/>
      <c r="G2" s="108"/>
      <c r="H2" s="109"/>
      <c r="I2" s="109"/>
      <c r="J2" s="110"/>
      <c r="N2" s="46"/>
      <c r="O2" s="46"/>
      <c r="P2" s="46"/>
    </row>
    <row r="3" spans="1:17" x14ac:dyDescent="0.25">
      <c r="A3" s="44" t="s">
        <v>5</v>
      </c>
      <c r="B3" s="25"/>
      <c r="C3" s="25"/>
      <c r="D3" s="25"/>
      <c r="E3" s="26"/>
      <c r="F3" s="309"/>
      <c r="G3" s="310"/>
      <c r="H3" s="310"/>
      <c r="I3" s="310"/>
      <c r="J3" s="311"/>
      <c r="N3" s="46"/>
      <c r="O3" s="46"/>
      <c r="P3" s="46"/>
    </row>
    <row r="4" spans="1:17" x14ac:dyDescent="0.25">
      <c r="A4" s="44" t="s">
        <v>0</v>
      </c>
      <c r="B4" s="25"/>
      <c r="C4" s="25"/>
      <c r="D4" s="25"/>
      <c r="E4" s="26"/>
      <c r="F4" s="309"/>
      <c r="G4" s="310"/>
      <c r="H4" s="310"/>
      <c r="I4" s="310"/>
      <c r="J4" s="311"/>
      <c r="N4" s="46"/>
      <c r="O4" s="46"/>
      <c r="P4" s="46"/>
    </row>
    <row r="5" spans="1:17" x14ac:dyDescent="0.25">
      <c r="A5" s="44" t="s">
        <v>57</v>
      </c>
      <c r="B5" s="25"/>
      <c r="C5" s="25"/>
      <c r="D5" s="25"/>
      <c r="E5" s="26"/>
      <c r="F5" s="315"/>
      <c r="G5" s="315"/>
      <c r="H5" s="315"/>
      <c r="I5" s="316"/>
      <c r="J5" s="317"/>
    </row>
    <row r="6" spans="1:17" s="61" customFormat="1" x14ac:dyDescent="0.25">
      <c r="A6" s="44" t="s">
        <v>216</v>
      </c>
      <c r="B6" s="25"/>
      <c r="C6" s="25"/>
      <c r="D6" s="25"/>
      <c r="E6" s="26"/>
      <c r="F6" s="320"/>
      <c r="G6" s="321"/>
      <c r="H6" s="321"/>
      <c r="I6" s="321"/>
      <c r="J6" s="322"/>
    </row>
    <row r="7" spans="1:17" x14ac:dyDescent="0.25">
      <c r="A7" s="44" t="s">
        <v>19</v>
      </c>
      <c r="B7" s="25"/>
      <c r="C7" s="25"/>
      <c r="D7" s="25"/>
      <c r="E7" s="26"/>
      <c r="F7" s="283" t="s">
        <v>13</v>
      </c>
      <c r="G7" s="145" t="s">
        <v>33</v>
      </c>
      <c r="H7" s="146"/>
      <c r="I7" s="146"/>
      <c r="J7" s="147"/>
      <c r="L7" s="61"/>
      <c r="M7" s="61"/>
      <c r="N7" s="61"/>
      <c r="O7" s="61"/>
      <c r="P7" s="61"/>
      <c r="Q7" s="61"/>
    </row>
    <row r="8" spans="1:17" ht="15.75" thickBot="1" x14ac:dyDescent="0.3">
      <c r="A8" s="48" t="s">
        <v>157</v>
      </c>
      <c r="B8" s="160"/>
      <c r="C8" s="160"/>
      <c r="D8" s="160"/>
      <c r="E8" s="49"/>
      <c r="F8" s="262"/>
      <c r="G8" s="148" t="s">
        <v>158</v>
      </c>
      <c r="H8" s="149"/>
      <c r="I8" s="149"/>
      <c r="J8" s="150"/>
      <c r="L8" s="61"/>
      <c r="M8" s="61"/>
      <c r="N8" s="61"/>
      <c r="O8" s="61"/>
      <c r="P8" s="61"/>
      <c r="Q8" s="61"/>
    </row>
    <row r="9" spans="1:17" s="61" customFormat="1" ht="5.25" customHeight="1" thickBot="1" x14ac:dyDescent="0.3"/>
    <row r="10" spans="1:17" ht="15" customHeight="1" x14ac:dyDescent="0.25">
      <c r="A10" s="47" t="s">
        <v>10</v>
      </c>
      <c r="B10" s="161"/>
      <c r="C10" s="161"/>
      <c r="D10" s="161"/>
      <c r="E10" s="50"/>
      <c r="F10" s="5"/>
      <c r="G10" s="5"/>
      <c r="H10" s="6"/>
      <c r="I10" s="6"/>
      <c r="J10" s="7"/>
      <c r="L10" s="61"/>
      <c r="M10" s="61"/>
      <c r="N10" s="61"/>
      <c r="O10" s="61"/>
      <c r="P10" s="61"/>
      <c r="Q10" s="61"/>
    </row>
    <row r="11" spans="1:17" ht="7.5" customHeight="1" x14ac:dyDescent="0.25">
      <c r="A11" s="44"/>
      <c r="B11" s="25"/>
      <c r="C11" s="25"/>
      <c r="D11" s="25"/>
      <c r="E11" s="25"/>
      <c r="F11" s="52"/>
      <c r="G11" s="52"/>
      <c r="H11" s="53"/>
      <c r="I11" s="53"/>
      <c r="J11" s="51"/>
      <c r="L11" s="61"/>
      <c r="M11" s="61"/>
      <c r="N11" s="61"/>
      <c r="O11" s="61"/>
      <c r="P11" s="61"/>
      <c r="Q11" s="61"/>
    </row>
    <row r="12" spans="1:17" x14ac:dyDescent="0.25">
      <c r="A12" s="44" t="s">
        <v>21</v>
      </c>
      <c r="B12" s="25"/>
      <c r="C12" s="25"/>
      <c r="D12" s="25"/>
      <c r="E12" s="25"/>
      <c r="F12" s="52"/>
      <c r="G12" s="52"/>
      <c r="H12" s="53"/>
      <c r="I12" s="53"/>
      <c r="J12" s="242">
        <f>IF(F8="",1,F8+1)*HLOOKUP($F$7,'Basis oplysn.'!C1:E8,3,FALSE)</f>
        <v>281</v>
      </c>
      <c r="L12" s="61"/>
      <c r="M12" s="61"/>
      <c r="N12" s="61"/>
      <c r="O12" s="61"/>
      <c r="P12" s="61"/>
      <c r="Q12" s="61"/>
    </row>
    <row r="13" spans="1:17" ht="15.75" thickBot="1" x14ac:dyDescent="0.3">
      <c r="A13" s="45" t="s">
        <v>151</v>
      </c>
      <c r="B13" s="49"/>
      <c r="C13" s="49"/>
      <c r="D13" s="49"/>
      <c r="E13" s="49"/>
      <c r="F13" s="54"/>
      <c r="G13" s="54"/>
      <c r="H13" s="55"/>
      <c r="I13" s="55"/>
      <c r="J13" s="261">
        <f>IF(F8="",1,F8+1)*HLOOKUP($F$7,'Basis oplysn.'!C1:E8,4,FALSE)</f>
        <v>494</v>
      </c>
      <c r="L13" s="61"/>
      <c r="M13" s="61"/>
      <c r="N13" s="61"/>
      <c r="O13" s="61"/>
      <c r="P13" s="61"/>
      <c r="Q13" s="61"/>
    </row>
    <row r="14" spans="1:17" s="61" customFormat="1" ht="5.25" customHeight="1" thickBot="1" x14ac:dyDescent="0.3"/>
    <row r="15" spans="1:17" x14ac:dyDescent="0.25">
      <c r="A15" s="312" t="s">
        <v>58</v>
      </c>
      <c r="B15" s="313"/>
      <c r="C15" s="313"/>
      <c r="D15" s="313"/>
      <c r="E15" s="313"/>
      <c r="F15" s="313"/>
      <c r="G15" s="313"/>
      <c r="H15" s="313"/>
      <c r="I15" s="313"/>
      <c r="J15" s="314"/>
      <c r="L15" s="61"/>
      <c r="M15" s="61"/>
      <c r="N15" s="61"/>
      <c r="O15" s="61"/>
      <c r="P15" s="61"/>
      <c r="Q15" s="61"/>
    </row>
    <row r="16" spans="1:17" s="61" customFormat="1" x14ac:dyDescent="0.25">
      <c r="A16" s="255"/>
      <c r="B16" s="256"/>
      <c r="C16" s="256"/>
      <c r="D16" s="256"/>
      <c r="E16" s="318" t="s">
        <v>142</v>
      </c>
      <c r="F16" s="319"/>
      <c r="G16" s="318" t="s">
        <v>106</v>
      </c>
      <c r="H16" s="319"/>
      <c r="I16" s="256"/>
      <c r="J16" s="257"/>
    </row>
    <row r="17" spans="1:17" x14ac:dyDescent="0.25">
      <c r="A17" s="201" t="s">
        <v>108</v>
      </c>
      <c r="B17" s="111" t="s">
        <v>9</v>
      </c>
      <c r="C17" s="111" t="s">
        <v>56</v>
      </c>
      <c r="D17" s="290" t="s">
        <v>3</v>
      </c>
      <c r="E17" s="112" t="s">
        <v>143</v>
      </c>
      <c r="F17" s="112" t="s">
        <v>144</v>
      </c>
      <c r="G17" s="111" t="s">
        <v>140</v>
      </c>
      <c r="H17" s="111" t="s">
        <v>141</v>
      </c>
      <c r="I17" s="112" t="s">
        <v>11</v>
      </c>
      <c r="J17" s="113" t="s">
        <v>3</v>
      </c>
      <c r="L17" s="61"/>
      <c r="M17" s="61"/>
      <c r="N17" s="61"/>
      <c r="O17" s="61"/>
      <c r="P17" s="61"/>
      <c r="Q17" s="61"/>
    </row>
    <row r="18" spans="1:17" x14ac:dyDescent="0.25">
      <c r="A18" s="202" t="s">
        <v>109</v>
      </c>
      <c r="B18" s="263"/>
      <c r="C18" s="289"/>
      <c r="D18" s="306" t="str">
        <f>IF(C18="","",INDEX('Basis oplysn.'!$H$2:$K$7,MATCH('Aftale Input'!C18,'Basis oplysn.'!$H$2:$H$7,0),MATCH('Aftale Input'!$F$7,'Basis oplysn.'!$H$2:$K$2,0)))</f>
        <v/>
      </c>
      <c r="E18" s="253"/>
      <c r="F18" s="253"/>
      <c r="G18" s="264"/>
      <c r="H18" s="264"/>
      <c r="I18" s="31">
        <f>IF(F18="",0,F18-E18+1)</f>
        <v>0</v>
      </c>
      <c r="J18" s="4">
        <f>IFERROR(IF(H18="",D18*G18*I18,D18*H18),0)</f>
        <v>0</v>
      </c>
      <c r="L18" s="61"/>
      <c r="M18" s="61"/>
      <c r="P18" s="61"/>
    </row>
    <row r="19" spans="1:17" x14ac:dyDescent="0.25">
      <c r="A19" s="202" t="s">
        <v>110</v>
      </c>
      <c r="B19" s="263"/>
      <c r="C19" s="289"/>
      <c r="D19" s="306" t="str">
        <f>IF(C19="","",INDEX('Basis oplysn.'!$H$2:$K$7,MATCH('Aftale Input'!C19,'Basis oplysn.'!$H$2:$H$7,0),MATCH('Aftale Input'!$F$7,'Basis oplysn.'!$H$2:$K$2,0)))</f>
        <v/>
      </c>
      <c r="E19" s="253"/>
      <c r="F19" s="253"/>
      <c r="G19" s="264"/>
      <c r="H19" s="264"/>
      <c r="I19" s="31">
        <f t="shared" ref="I19:I29" si="0">IF(F19="",0,F19-E19+1)</f>
        <v>0</v>
      </c>
      <c r="J19" s="4">
        <f t="shared" ref="J19:J29" si="1">IFERROR(IF(H19="",D19*G19*I19,D19*H19),0)</f>
        <v>0</v>
      </c>
      <c r="L19" s="61"/>
      <c r="M19" s="61"/>
    </row>
    <row r="20" spans="1:17" x14ac:dyDescent="0.25">
      <c r="A20" s="202" t="s">
        <v>111</v>
      </c>
      <c r="B20" s="263"/>
      <c r="C20" s="289"/>
      <c r="D20" s="306" t="str">
        <f>IF(C20="","",INDEX('Basis oplysn.'!$H$2:$K$7,MATCH('Aftale Input'!C20,'Basis oplysn.'!$H$2:$H$7,0),MATCH('Aftale Input'!$F$7,'Basis oplysn.'!$H$2:$K$2,0)))</f>
        <v/>
      </c>
      <c r="E20" s="253"/>
      <c r="F20" s="253"/>
      <c r="G20" s="264"/>
      <c r="H20" s="264"/>
      <c r="I20" s="31">
        <f t="shared" si="0"/>
        <v>0</v>
      </c>
      <c r="J20" s="4">
        <f t="shared" si="1"/>
        <v>0</v>
      </c>
      <c r="L20" s="61"/>
      <c r="M20" s="61"/>
    </row>
    <row r="21" spans="1:17" x14ac:dyDescent="0.25">
      <c r="A21" s="202" t="s">
        <v>112</v>
      </c>
      <c r="B21" s="263"/>
      <c r="C21" s="289"/>
      <c r="D21" s="306" t="str">
        <f>IF(C21="","",INDEX('Basis oplysn.'!$H$2:$K$7,MATCH('Aftale Input'!C21,'Basis oplysn.'!$H$2:$H$7,0),MATCH('Aftale Input'!$F$7,'Basis oplysn.'!$H$2:$K$2,0)))</f>
        <v/>
      </c>
      <c r="E21" s="253"/>
      <c r="F21" s="253"/>
      <c r="G21" s="264"/>
      <c r="H21" s="264"/>
      <c r="I21" s="31">
        <f t="shared" si="0"/>
        <v>0</v>
      </c>
      <c r="J21" s="4">
        <f t="shared" si="1"/>
        <v>0</v>
      </c>
      <c r="L21" s="61"/>
    </row>
    <row r="22" spans="1:17" x14ac:dyDescent="0.25">
      <c r="A22" s="202" t="s">
        <v>113</v>
      </c>
      <c r="B22" s="263"/>
      <c r="C22" s="289"/>
      <c r="D22" s="306" t="str">
        <f>IF(C22="","",INDEX('Basis oplysn.'!$H$2:$K$7,MATCH('Aftale Input'!C22,'Basis oplysn.'!$H$2:$H$7,0),MATCH('Aftale Input'!$F$7,'Basis oplysn.'!$H$2:$K$2,0)))</f>
        <v/>
      </c>
      <c r="E22" s="253"/>
      <c r="F22" s="253"/>
      <c r="G22" s="264"/>
      <c r="H22" s="264"/>
      <c r="I22" s="31">
        <f t="shared" si="0"/>
        <v>0</v>
      </c>
      <c r="J22" s="4">
        <f t="shared" si="1"/>
        <v>0</v>
      </c>
      <c r="L22" s="61"/>
    </row>
    <row r="23" spans="1:17" outlineLevel="1" x14ac:dyDescent="0.25">
      <c r="A23" s="202" t="s">
        <v>114</v>
      </c>
      <c r="B23" s="263"/>
      <c r="C23" s="289"/>
      <c r="D23" s="306" t="str">
        <f>IF(C23="","",INDEX('Basis oplysn.'!$H$2:$K$7,MATCH('Aftale Input'!C23,'Basis oplysn.'!$H$2:$H$7,0),MATCH('Aftale Input'!$F$7,'Basis oplysn.'!$H$2:$K$2,0)))</f>
        <v/>
      </c>
      <c r="E23" s="253"/>
      <c r="F23" s="253"/>
      <c r="G23" s="264"/>
      <c r="H23" s="264"/>
      <c r="I23" s="31">
        <f t="shared" si="0"/>
        <v>0</v>
      </c>
      <c r="J23" s="4">
        <f t="shared" si="1"/>
        <v>0</v>
      </c>
      <c r="L23" s="61"/>
    </row>
    <row r="24" spans="1:17" outlineLevel="1" x14ac:dyDescent="0.25">
      <c r="A24" s="202" t="s">
        <v>115</v>
      </c>
      <c r="B24" s="263"/>
      <c r="C24" s="289"/>
      <c r="D24" s="306" t="str">
        <f>IF(C24="","",INDEX('Basis oplysn.'!$H$2:$K$7,MATCH('Aftale Input'!C24,'Basis oplysn.'!$H$2:$H$7,0),MATCH('Aftale Input'!$F$7,'Basis oplysn.'!$H$2:$K$2,0)))</f>
        <v/>
      </c>
      <c r="E24" s="253"/>
      <c r="F24" s="253"/>
      <c r="G24" s="264"/>
      <c r="H24" s="264"/>
      <c r="I24" s="31">
        <f t="shared" si="0"/>
        <v>0</v>
      </c>
      <c r="J24" s="4">
        <f t="shared" si="1"/>
        <v>0</v>
      </c>
    </row>
    <row r="25" spans="1:17" outlineLevel="1" x14ac:dyDescent="0.25">
      <c r="A25" s="202" t="s">
        <v>116</v>
      </c>
      <c r="B25" s="263"/>
      <c r="C25" s="289"/>
      <c r="D25" s="306" t="str">
        <f>IF(C25="","",INDEX('Basis oplysn.'!$H$2:$K$7,MATCH('Aftale Input'!C25,'Basis oplysn.'!$H$2:$H$7,0),MATCH('Aftale Input'!$F$7,'Basis oplysn.'!$H$2:$K$2,0)))</f>
        <v/>
      </c>
      <c r="E25" s="253"/>
      <c r="F25" s="253"/>
      <c r="G25" s="264"/>
      <c r="H25" s="264"/>
      <c r="I25" s="31">
        <f t="shared" si="0"/>
        <v>0</v>
      </c>
      <c r="J25" s="4">
        <f t="shared" si="1"/>
        <v>0</v>
      </c>
    </row>
    <row r="26" spans="1:17" outlineLevel="1" x14ac:dyDescent="0.25">
      <c r="A26" s="202" t="s">
        <v>117</v>
      </c>
      <c r="B26" s="263"/>
      <c r="C26" s="289"/>
      <c r="D26" s="306" t="str">
        <f>IF(C26="","",INDEX('Basis oplysn.'!$H$2:$K$7,MATCH('Aftale Input'!C26,'Basis oplysn.'!$H$2:$H$7,0),MATCH('Aftale Input'!$F$7,'Basis oplysn.'!$H$2:$K$2,0)))</f>
        <v/>
      </c>
      <c r="E26" s="253"/>
      <c r="F26" s="253"/>
      <c r="G26" s="264"/>
      <c r="H26" s="264"/>
      <c r="I26" s="31">
        <f t="shared" si="0"/>
        <v>0</v>
      </c>
      <c r="J26" s="4">
        <f t="shared" si="1"/>
        <v>0</v>
      </c>
    </row>
    <row r="27" spans="1:17" outlineLevel="1" x14ac:dyDescent="0.25">
      <c r="A27" s="202" t="s">
        <v>118</v>
      </c>
      <c r="B27" s="263"/>
      <c r="C27" s="289"/>
      <c r="D27" s="306" t="str">
        <f>IF(C27="","",INDEX('Basis oplysn.'!$H$2:$K$7,MATCH('Aftale Input'!C27,'Basis oplysn.'!$H$2:$H$7,0),MATCH('Aftale Input'!$F$7,'Basis oplysn.'!$H$2:$K$2,0)))</f>
        <v/>
      </c>
      <c r="E27" s="253"/>
      <c r="F27" s="253"/>
      <c r="G27" s="264"/>
      <c r="H27" s="264"/>
      <c r="I27" s="31">
        <f t="shared" si="0"/>
        <v>0</v>
      </c>
      <c r="J27" s="4">
        <f t="shared" si="1"/>
        <v>0</v>
      </c>
    </row>
    <row r="28" spans="1:17" outlineLevel="1" x14ac:dyDescent="0.25">
      <c r="A28" s="202" t="s">
        <v>119</v>
      </c>
      <c r="B28" s="263"/>
      <c r="C28" s="289"/>
      <c r="D28" s="306" t="str">
        <f>IF(C28="","",INDEX('Basis oplysn.'!$H$2:$K$7,MATCH('Aftale Input'!C28,'Basis oplysn.'!$H$2:$H$7,0),MATCH('Aftale Input'!$F$7,'Basis oplysn.'!$H$2:$K$2,0)))</f>
        <v/>
      </c>
      <c r="E28" s="253"/>
      <c r="F28" s="253"/>
      <c r="G28" s="264"/>
      <c r="H28" s="264"/>
      <c r="I28" s="31">
        <f t="shared" si="0"/>
        <v>0</v>
      </c>
      <c r="J28" s="4">
        <f t="shared" si="1"/>
        <v>0</v>
      </c>
    </row>
    <row r="29" spans="1:17" outlineLevel="1" x14ac:dyDescent="0.25">
      <c r="A29" s="202" t="s">
        <v>120</v>
      </c>
      <c r="B29" s="263"/>
      <c r="C29" s="289"/>
      <c r="D29" s="306" t="str">
        <f>IF(C29="","",INDEX('Basis oplysn.'!$H$2:$K$7,MATCH('Aftale Input'!C29,'Basis oplysn.'!$H$2:$H$7,0),MATCH('Aftale Input'!$F$7,'Basis oplysn.'!$H$2:$K$2,0)))</f>
        <v/>
      </c>
      <c r="E29" s="253"/>
      <c r="F29" s="253"/>
      <c r="G29" s="264"/>
      <c r="H29" s="264"/>
      <c r="I29" s="31">
        <f t="shared" si="0"/>
        <v>0</v>
      </c>
      <c r="J29" s="4">
        <f t="shared" si="1"/>
        <v>0</v>
      </c>
    </row>
    <row r="30" spans="1:17" x14ac:dyDescent="0.25">
      <c r="A30" s="114" t="s">
        <v>70</v>
      </c>
      <c r="B30" s="115"/>
      <c r="C30" s="115"/>
      <c r="D30" s="115"/>
      <c r="E30" s="116"/>
      <c r="F30" s="116"/>
      <c r="G30" s="117">
        <f>SUM(G18:G29)</f>
        <v>0</v>
      </c>
      <c r="H30" s="117">
        <f>SUM(H18:H29)</f>
        <v>0</v>
      </c>
      <c r="I30" s="117">
        <f>SUM(I18:I29)</f>
        <v>0</v>
      </c>
      <c r="J30" s="118"/>
    </row>
    <row r="31" spans="1:17" ht="9" customHeight="1" x14ac:dyDescent="0.25">
      <c r="A31" s="65"/>
      <c r="B31" s="63"/>
      <c r="C31" s="63"/>
      <c r="D31" s="63"/>
      <c r="E31" s="63"/>
      <c r="F31" s="63"/>
      <c r="G31" s="63"/>
      <c r="H31" s="63"/>
      <c r="I31" s="63"/>
      <c r="J31" s="66"/>
    </row>
    <row r="32" spans="1:17" s="61" customFormat="1" x14ac:dyDescent="0.25">
      <c r="A32" s="119" t="s">
        <v>71</v>
      </c>
      <c r="B32" s="162"/>
      <c r="C32" s="162"/>
      <c r="D32" s="162"/>
      <c r="E32" s="112" t="s">
        <v>145</v>
      </c>
      <c r="F32" s="112" t="s">
        <v>144</v>
      </c>
      <c r="G32" s="111" t="s">
        <v>140</v>
      </c>
      <c r="H32" s="111" t="s">
        <v>141</v>
      </c>
      <c r="I32" s="112" t="s">
        <v>11</v>
      </c>
      <c r="J32" s="113" t="s">
        <v>3</v>
      </c>
    </row>
    <row r="33" spans="1:14" s="61" customFormat="1" outlineLevel="1" x14ac:dyDescent="0.25">
      <c r="A33" s="102" t="s">
        <v>46</v>
      </c>
      <c r="B33" s="163"/>
      <c r="C33" s="164"/>
      <c r="D33" s="163"/>
      <c r="E33" s="253"/>
      <c r="F33" s="253"/>
      <c r="G33" s="264"/>
      <c r="H33" s="264"/>
      <c r="I33" s="31">
        <f t="shared" ref="I33:I34" si="2">IF(F33="",0,F33-E33+1)</f>
        <v>0</v>
      </c>
      <c r="J33" s="4">
        <f>IF($F$7="UK90",'Basis oplysn.'!C5,'Basis oplysn.'!D5)*IF(H33="",G33*I33,H33)*(1+$F$8)</f>
        <v>0</v>
      </c>
      <c r="N33" s="151"/>
    </row>
    <row r="34" spans="1:14" s="61" customFormat="1" outlineLevel="1" x14ac:dyDescent="0.25">
      <c r="A34" s="102" t="s">
        <v>47</v>
      </c>
      <c r="B34" s="163"/>
      <c r="C34" s="164"/>
      <c r="D34" s="163"/>
      <c r="E34" s="253"/>
      <c r="F34" s="253"/>
      <c r="G34" s="264"/>
      <c r="H34" s="264"/>
      <c r="I34" s="31">
        <f t="shared" si="2"/>
        <v>0</v>
      </c>
      <c r="J34" s="4">
        <f>IF($F$7="UK90",'Basis oplysn.'!C6,'Basis oplysn.'!D6)*IF(H34="",G34*I34,H34)*(1+$F$8)</f>
        <v>0</v>
      </c>
    </row>
    <row r="35" spans="1:14" s="61" customFormat="1" outlineLevel="1" x14ac:dyDescent="0.25">
      <c r="A35" s="119" t="s">
        <v>217</v>
      </c>
      <c r="B35" s="162"/>
      <c r="C35" s="162"/>
      <c r="D35" s="162"/>
      <c r="E35" s="112" t="s">
        <v>138</v>
      </c>
      <c r="F35" s="112" t="s">
        <v>139</v>
      </c>
      <c r="G35" s="111"/>
      <c r="H35" s="111" t="s">
        <v>12</v>
      </c>
      <c r="I35" s="112" t="s">
        <v>124</v>
      </c>
      <c r="J35" s="113" t="s">
        <v>3</v>
      </c>
    </row>
    <row r="36" spans="1:14" s="61" customFormat="1" outlineLevel="1" x14ac:dyDescent="0.25">
      <c r="A36" s="159" t="s">
        <v>48</v>
      </c>
      <c r="B36" s="164"/>
      <c r="C36" s="164"/>
      <c r="D36" s="164"/>
      <c r="E36" s="265"/>
      <c r="F36" s="265"/>
      <c r="G36" s="17"/>
      <c r="H36" s="17" t="str">
        <f>IF(E36="","",IF($F$7="UK90","Ja","Nej"))</f>
        <v/>
      </c>
      <c r="I36" s="31" t="str">
        <f>IF(F36="","",ROUNDUP(_xlfn.DAYS(F36,E36)+1,0))</f>
        <v/>
      </c>
      <c r="J36" s="185">
        <f>IF(F36="",0,IF($F$7="UK90",'Basis oplysn.'!C7,'Basis oplysn.'!D7)*I36*(1+$F$8))</f>
        <v>0</v>
      </c>
    </row>
    <row r="37" spans="1:14" s="61" customFormat="1" outlineLevel="1" x14ac:dyDescent="0.25">
      <c r="A37" s="159" t="s">
        <v>49</v>
      </c>
      <c r="B37" s="164"/>
      <c r="C37" s="164"/>
      <c r="D37" s="164"/>
      <c r="E37" s="265"/>
      <c r="F37" s="265"/>
      <c r="G37" s="17"/>
      <c r="H37" s="17" t="str">
        <f>IF(E37="","",IF($F$7="UK90","Ja","Nej"))</f>
        <v/>
      </c>
      <c r="I37" s="31" t="str">
        <f>IF(F37="","",ROUNDUP(_xlfn.DAYS(F37,E37)+1,0))</f>
        <v/>
      </c>
      <c r="J37" s="185">
        <f>IF(F37="",0,IF($F$7="UK90",'Basis oplysn.'!C8,'Basis oplysn.'!D8)*I37*(1+$F$8))</f>
        <v>0</v>
      </c>
    </row>
    <row r="38" spans="1:14" s="61" customFormat="1" x14ac:dyDescent="0.25">
      <c r="A38" s="139"/>
      <c r="B38" s="140"/>
      <c r="C38" s="140"/>
      <c r="D38" s="140"/>
      <c r="E38" s="140"/>
      <c r="F38" s="140"/>
      <c r="G38" s="140"/>
      <c r="H38" s="140"/>
      <c r="I38" s="140"/>
      <c r="J38" s="141"/>
    </row>
    <row r="39" spans="1:14" s="61" customFormat="1" ht="5.25" customHeight="1" x14ac:dyDescent="0.25">
      <c r="A39" s="65"/>
      <c r="B39" s="63"/>
      <c r="C39" s="63"/>
      <c r="D39" s="63"/>
      <c r="E39" s="63"/>
      <c r="F39" s="63"/>
      <c r="G39" s="63"/>
      <c r="H39" s="63"/>
      <c r="I39" s="63"/>
      <c r="J39" s="66"/>
    </row>
    <row r="40" spans="1:14" x14ac:dyDescent="0.25">
      <c r="A40" s="120" t="s">
        <v>102</v>
      </c>
      <c r="B40" s="121"/>
      <c r="C40" s="121"/>
      <c r="D40" s="121"/>
      <c r="E40" s="121"/>
      <c r="F40" s="186" t="s">
        <v>131</v>
      </c>
      <c r="G40" s="112" t="s">
        <v>103</v>
      </c>
      <c r="H40" s="112" t="s">
        <v>4</v>
      </c>
      <c r="I40" s="112" t="s">
        <v>2</v>
      </c>
      <c r="J40" s="113" t="s">
        <v>3</v>
      </c>
    </row>
    <row r="41" spans="1:14" x14ac:dyDescent="0.25">
      <c r="A41" s="67" t="s">
        <v>125</v>
      </c>
      <c r="B41" s="56"/>
      <c r="C41" s="56"/>
      <c r="D41" s="56"/>
      <c r="E41" s="56"/>
      <c r="F41" s="138"/>
      <c r="G41" s="57"/>
      <c r="H41" s="56"/>
      <c r="I41" s="62"/>
      <c r="J41" s="3"/>
    </row>
    <row r="42" spans="1:14" outlineLevel="1" x14ac:dyDescent="0.25">
      <c r="A42" s="68" t="s">
        <v>18</v>
      </c>
      <c r="B42" s="59"/>
      <c r="C42" s="59"/>
      <c r="D42" s="59"/>
      <c r="E42" s="59"/>
      <c r="F42" s="266"/>
      <c r="G42" s="267"/>
      <c r="H42" s="268"/>
      <c r="I42" s="269"/>
      <c r="J42" s="4">
        <f t="shared" ref="J42:J47" si="3">IFERROR(I42*$J$12,0)</f>
        <v>0</v>
      </c>
    </row>
    <row r="43" spans="1:14" outlineLevel="1" x14ac:dyDescent="0.25">
      <c r="A43" s="68" t="s">
        <v>74</v>
      </c>
      <c r="B43" s="59"/>
      <c r="C43" s="59"/>
      <c r="D43" s="59"/>
      <c r="E43" s="59"/>
      <c r="F43" s="266"/>
      <c r="G43" s="267"/>
      <c r="H43" s="268"/>
      <c r="I43" s="269"/>
      <c r="J43" s="4">
        <f t="shared" si="3"/>
        <v>0</v>
      </c>
    </row>
    <row r="44" spans="1:14" outlineLevel="1" x14ac:dyDescent="0.25">
      <c r="A44" s="68" t="s">
        <v>175</v>
      </c>
      <c r="B44" s="59"/>
      <c r="C44" s="59"/>
      <c r="D44" s="59"/>
      <c r="E44" s="59"/>
      <c r="F44" s="266"/>
      <c r="G44" s="267">
        <v>0.16718861209964411</v>
      </c>
      <c r="H44" s="264"/>
      <c r="I44" s="270">
        <f>+H44*G44</f>
        <v>0</v>
      </c>
      <c r="J44" s="4">
        <f t="shared" si="3"/>
        <v>0</v>
      </c>
    </row>
    <row r="45" spans="1:14" outlineLevel="1" x14ac:dyDescent="0.25">
      <c r="A45" s="68" t="s">
        <v>73</v>
      </c>
      <c r="B45" s="59"/>
      <c r="C45" s="59"/>
      <c r="D45" s="59"/>
      <c r="E45" s="59"/>
      <c r="F45" s="266"/>
      <c r="G45" s="267">
        <v>5.0142348754448396E-2</v>
      </c>
      <c r="H45" s="264"/>
      <c r="I45" s="270">
        <f>+H45*G45</f>
        <v>0</v>
      </c>
      <c r="J45" s="4">
        <f t="shared" si="3"/>
        <v>0</v>
      </c>
    </row>
    <row r="46" spans="1:14" outlineLevel="1" x14ac:dyDescent="0.25">
      <c r="A46" s="69" t="s">
        <v>75</v>
      </c>
      <c r="B46" s="165"/>
      <c r="C46" s="165"/>
      <c r="D46" s="165"/>
      <c r="E46" s="64"/>
      <c r="F46" s="266"/>
      <c r="G46" s="267">
        <v>3.3416370106761566E-2</v>
      </c>
      <c r="H46" s="264"/>
      <c r="I46" s="270">
        <f>+H46*G46</f>
        <v>0</v>
      </c>
      <c r="J46" s="4">
        <f t="shared" si="3"/>
        <v>0</v>
      </c>
    </row>
    <row r="47" spans="1:14" outlineLevel="1" x14ac:dyDescent="0.25">
      <c r="A47" s="69" t="s">
        <v>85</v>
      </c>
      <c r="B47" s="165"/>
      <c r="C47" s="165"/>
      <c r="D47" s="165"/>
      <c r="E47" s="64"/>
      <c r="F47" s="266"/>
      <c r="G47" s="267"/>
      <c r="H47" s="268"/>
      <c r="I47" s="269"/>
      <c r="J47" s="4">
        <f t="shared" si="3"/>
        <v>0</v>
      </c>
    </row>
    <row r="48" spans="1:14" x14ac:dyDescent="0.25">
      <c r="A48" s="68"/>
      <c r="B48" s="59"/>
      <c r="C48" s="59"/>
      <c r="D48" s="59"/>
      <c r="E48" s="59"/>
      <c r="F48" s="266"/>
      <c r="G48" s="267"/>
      <c r="H48" s="268"/>
      <c r="I48" s="270"/>
      <c r="J48" s="4"/>
    </row>
    <row r="49" spans="1:17" x14ac:dyDescent="0.25">
      <c r="A49" s="67" t="s">
        <v>126</v>
      </c>
      <c r="B49" s="56"/>
      <c r="C49" s="56"/>
      <c r="D49" s="56"/>
      <c r="E49" s="56" t="s">
        <v>174</v>
      </c>
      <c r="F49" s="271" t="s">
        <v>123</v>
      </c>
      <c r="G49" s="271" t="s">
        <v>104</v>
      </c>
      <c r="H49" s="271" t="s">
        <v>105</v>
      </c>
      <c r="I49" s="272" t="s">
        <v>2</v>
      </c>
      <c r="J49" s="187" t="s">
        <v>3</v>
      </c>
    </row>
    <row r="50" spans="1:17" outlineLevel="1" x14ac:dyDescent="0.25">
      <c r="A50" s="68" t="s">
        <v>82</v>
      </c>
      <c r="B50" s="59"/>
      <c r="C50" s="59"/>
      <c r="D50" s="59"/>
      <c r="E50" s="59"/>
      <c r="F50" s="273"/>
      <c r="G50" s="274"/>
      <c r="H50" s="275"/>
      <c r="I50" s="270">
        <f>+H50*G50</f>
        <v>0</v>
      </c>
      <c r="J50" s="4">
        <f>IFERROR(I50*$J$12,0)</f>
        <v>0</v>
      </c>
      <c r="P50" s="153"/>
    </row>
    <row r="51" spans="1:17" s="61" customFormat="1" outlineLevel="1" x14ac:dyDescent="0.25">
      <c r="A51" s="68" t="s">
        <v>78</v>
      </c>
      <c r="B51" s="59"/>
      <c r="C51" s="59"/>
      <c r="D51" s="59"/>
      <c r="E51" s="59"/>
      <c r="F51" s="273"/>
      <c r="G51" s="274"/>
      <c r="H51" s="275"/>
      <c r="I51" s="270">
        <f>+H51*G51</f>
        <v>0</v>
      </c>
      <c r="J51" s="4">
        <f>IFERROR(I51*$J$12,0)</f>
        <v>0</v>
      </c>
      <c r="Q51"/>
    </row>
    <row r="52" spans="1:17" s="61" customFormat="1" outlineLevel="1" x14ac:dyDescent="0.25">
      <c r="A52" s="68" t="s">
        <v>148</v>
      </c>
      <c r="B52" s="59"/>
      <c r="C52" s="59"/>
      <c r="D52" s="59"/>
      <c r="E52" s="59"/>
      <c r="F52" s="273"/>
      <c r="G52" s="274"/>
      <c r="H52" s="275"/>
      <c r="I52" s="270">
        <f>+H52*G52</f>
        <v>0</v>
      </c>
      <c r="J52" s="4">
        <f>IFERROR(I52*$J$13,0)</f>
        <v>0</v>
      </c>
    </row>
    <row r="53" spans="1:17" s="61" customFormat="1" outlineLevel="1" x14ac:dyDescent="0.25">
      <c r="A53" s="68" t="s">
        <v>87</v>
      </c>
      <c r="B53" s="59"/>
      <c r="C53" s="59"/>
      <c r="D53" s="59"/>
      <c r="E53" s="59"/>
      <c r="F53" s="273"/>
      <c r="G53" s="267"/>
      <c r="H53" s="276"/>
      <c r="I53" s="269"/>
      <c r="J53" s="4">
        <f>IFERROR(I53*$J$12,0)</f>
        <v>0</v>
      </c>
      <c r="Q53"/>
    </row>
    <row r="54" spans="1:17" s="61" customFormat="1" outlineLevel="1" x14ac:dyDescent="0.25">
      <c r="A54" s="68" t="s">
        <v>241</v>
      </c>
      <c r="B54" s="59"/>
      <c r="C54" s="59"/>
      <c r="D54" s="59"/>
      <c r="E54" s="264"/>
      <c r="F54" s="273"/>
      <c r="G54" s="267">
        <v>4.3096085409252666E-2</v>
      </c>
      <c r="H54" s="275"/>
      <c r="I54" s="270">
        <f>+H54*G54*E54</f>
        <v>0</v>
      </c>
      <c r="J54" s="4">
        <f>IFERROR(I54*$J$12,0)</f>
        <v>0</v>
      </c>
    </row>
    <row r="55" spans="1:17" s="61" customFormat="1" outlineLevel="1" x14ac:dyDescent="0.25">
      <c r="A55" s="68" t="s">
        <v>242</v>
      </c>
      <c r="B55" s="59"/>
      <c r="C55" s="59"/>
      <c r="D55" s="59"/>
      <c r="E55" s="264"/>
      <c r="F55" s="273"/>
      <c r="G55" s="267">
        <v>8.822064056939502E-2</v>
      </c>
      <c r="H55" s="264"/>
      <c r="I55" s="270">
        <f>+H55*G55*E55</f>
        <v>0</v>
      </c>
      <c r="J55" s="4">
        <f>IFERROR(I55*$J$12,0)</f>
        <v>0</v>
      </c>
    </row>
    <row r="56" spans="1:17" x14ac:dyDescent="0.25">
      <c r="A56" s="68"/>
      <c r="B56" s="59"/>
      <c r="C56" s="59"/>
      <c r="D56" s="59"/>
      <c r="E56" s="59"/>
      <c r="F56" s="266"/>
      <c r="G56" s="268"/>
      <c r="H56" s="276"/>
      <c r="I56" s="277"/>
      <c r="J56" s="4"/>
      <c r="O56" s="61"/>
    </row>
    <row r="57" spans="1:17" x14ac:dyDescent="0.25">
      <c r="A57" s="67" t="s">
        <v>127</v>
      </c>
      <c r="B57" s="56"/>
      <c r="C57" s="56"/>
      <c r="D57" s="56"/>
      <c r="E57" s="56"/>
      <c r="F57" s="271" t="s">
        <v>123</v>
      </c>
      <c r="G57" s="278" t="s">
        <v>104</v>
      </c>
      <c r="H57" s="279" t="s">
        <v>86</v>
      </c>
      <c r="I57" s="272" t="s">
        <v>2</v>
      </c>
      <c r="J57" s="187" t="s">
        <v>3</v>
      </c>
      <c r="N57" s="61"/>
      <c r="O57" s="61"/>
    </row>
    <row r="58" spans="1:17" outlineLevel="1" x14ac:dyDescent="0.25">
      <c r="A58" s="68" t="s">
        <v>83</v>
      </c>
      <c r="B58" s="59"/>
      <c r="C58" s="59"/>
      <c r="D58" s="59"/>
      <c r="E58" s="59"/>
      <c r="F58" s="273"/>
      <c r="G58" s="267"/>
      <c r="H58" s="276"/>
      <c r="I58" s="269"/>
      <c r="J58" s="4">
        <f t="shared" ref="J58:J63" si="4">IFERROR(I58*$J$12,0)</f>
        <v>0</v>
      </c>
      <c r="N58" s="61"/>
      <c r="O58" s="61"/>
    </row>
    <row r="59" spans="1:17" outlineLevel="1" x14ac:dyDescent="0.25">
      <c r="A59" s="68" t="s">
        <v>90</v>
      </c>
      <c r="B59" s="59"/>
      <c r="C59" s="59"/>
      <c r="D59" s="59"/>
      <c r="E59" s="59"/>
      <c r="F59" s="273"/>
      <c r="G59" s="267"/>
      <c r="H59" s="276"/>
      <c r="I59" s="269"/>
      <c r="J59" s="4">
        <f t="shared" si="4"/>
        <v>0</v>
      </c>
      <c r="N59" s="61"/>
      <c r="O59" s="61"/>
    </row>
    <row r="60" spans="1:17" s="61" customFormat="1" outlineLevel="1" x14ac:dyDescent="0.25">
      <c r="A60" s="68" t="s">
        <v>92</v>
      </c>
      <c r="B60" s="59"/>
      <c r="C60" s="59"/>
      <c r="D60" s="59"/>
      <c r="E60" s="59"/>
      <c r="F60" s="273"/>
      <c r="G60" s="267">
        <v>2.5088967971530249E-2</v>
      </c>
      <c r="H60" s="264"/>
      <c r="I60" s="270">
        <f t="shared" ref="I60:I68" si="5">+H60*G60</f>
        <v>0</v>
      </c>
      <c r="J60" s="4">
        <f t="shared" si="4"/>
        <v>0</v>
      </c>
    </row>
    <row r="61" spans="1:17" s="61" customFormat="1" outlineLevel="1" x14ac:dyDescent="0.25">
      <c r="A61" s="68" t="s">
        <v>91</v>
      </c>
      <c r="B61" s="59"/>
      <c r="C61" s="59"/>
      <c r="D61" s="59"/>
      <c r="E61" s="59"/>
      <c r="F61" s="273"/>
      <c r="G61" s="267">
        <v>5.0142348754448396E-2</v>
      </c>
      <c r="H61" s="264"/>
      <c r="I61" s="270">
        <f t="shared" si="5"/>
        <v>0</v>
      </c>
      <c r="J61" s="4">
        <f t="shared" si="4"/>
        <v>0</v>
      </c>
    </row>
    <row r="62" spans="1:17" outlineLevel="1" x14ac:dyDescent="0.25">
      <c r="A62" s="68" t="s">
        <v>88</v>
      </c>
      <c r="B62" s="59"/>
      <c r="C62" s="59"/>
      <c r="D62" s="59"/>
      <c r="E62" s="59"/>
      <c r="F62" s="273"/>
      <c r="G62" s="267">
        <v>0.13373665480427047</v>
      </c>
      <c r="H62" s="264"/>
      <c r="I62" s="270">
        <f t="shared" si="5"/>
        <v>0</v>
      </c>
      <c r="J62" s="4">
        <f t="shared" si="4"/>
        <v>0</v>
      </c>
      <c r="N62" s="61"/>
      <c r="O62" s="61"/>
    </row>
    <row r="63" spans="1:17" outlineLevel="1" x14ac:dyDescent="0.25">
      <c r="A63" s="68" t="s">
        <v>77</v>
      </c>
      <c r="B63" s="59"/>
      <c r="C63" s="59"/>
      <c r="D63" s="59"/>
      <c r="E63" s="59"/>
      <c r="F63" s="273"/>
      <c r="G63" s="267">
        <v>3.3416370106761566E-2</v>
      </c>
      <c r="H63" s="264"/>
      <c r="I63" s="270">
        <f t="shared" si="5"/>
        <v>0</v>
      </c>
      <c r="J63" s="4">
        <f t="shared" si="4"/>
        <v>0</v>
      </c>
      <c r="N63" s="61"/>
      <c r="O63" s="61"/>
    </row>
    <row r="64" spans="1:17" s="61" customFormat="1" outlineLevel="1" x14ac:dyDescent="0.25">
      <c r="A64" s="68" t="s">
        <v>81</v>
      </c>
      <c r="B64" s="59"/>
      <c r="C64" s="59"/>
      <c r="D64" s="59"/>
      <c r="E64" s="59"/>
      <c r="F64" s="273"/>
      <c r="G64" s="267">
        <v>3.0089679715302489</v>
      </c>
      <c r="H64" s="264"/>
      <c r="I64" s="270">
        <f t="shared" si="5"/>
        <v>0</v>
      </c>
      <c r="J64" s="4">
        <f>IFERROR(I64*$J$12,0)</f>
        <v>0</v>
      </c>
    </row>
    <row r="65" spans="1:10" s="61" customFormat="1" outlineLevel="1" x14ac:dyDescent="0.25">
      <c r="A65" s="68" t="s">
        <v>93</v>
      </c>
      <c r="B65" s="59"/>
      <c r="C65" s="59"/>
      <c r="D65" s="59"/>
      <c r="E65" s="59"/>
      <c r="F65" s="273"/>
      <c r="G65" s="267">
        <v>1.6725978647686834E-2</v>
      </c>
      <c r="H65" s="264"/>
      <c r="I65" s="270">
        <f t="shared" si="5"/>
        <v>0</v>
      </c>
      <c r="J65" s="4">
        <f t="shared" ref="J65:J83" si="6">IFERROR(I65*$J$12,0)</f>
        <v>0</v>
      </c>
    </row>
    <row r="66" spans="1:10" s="61" customFormat="1" outlineLevel="1" x14ac:dyDescent="0.25">
      <c r="A66" s="68" t="s">
        <v>94</v>
      </c>
      <c r="B66" s="59"/>
      <c r="C66" s="59"/>
      <c r="D66" s="59"/>
      <c r="E66" s="59"/>
      <c r="F66" s="273"/>
      <c r="G66" s="267">
        <v>1.6725978647686834E-2</v>
      </c>
      <c r="H66" s="264"/>
      <c r="I66" s="270">
        <f t="shared" si="5"/>
        <v>0</v>
      </c>
      <c r="J66" s="4">
        <f>IFERROR(I66*$J$12,0)</f>
        <v>0</v>
      </c>
    </row>
    <row r="67" spans="1:10" s="61" customFormat="1" outlineLevel="1" x14ac:dyDescent="0.25">
      <c r="A67" s="68" t="s">
        <v>95</v>
      </c>
      <c r="B67" s="59"/>
      <c r="C67" s="59"/>
      <c r="D67" s="59"/>
      <c r="E67" s="59"/>
      <c r="F67" s="273"/>
      <c r="G67" s="267">
        <v>1.6725978647686834E-2</v>
      </c>
      <c r="H67" s="264"/>
      <c r="I67" s="270">
        <f t="shared" si="5"/>
        <v>0</v>
      </c>
      <c r="J67" s="4">
        <f t="shared" si="6"/>
        <v>0</v>
      </c>
    </row>
    <row r="68" spans="1:10" s="61" customFormat="1" outlineLevel="1" x14ac:dyDescent="0.25">
      <c r="A68" s="68" t="s">
        <v>97</v>
      </c>
      <c r="B68" s="59"/>
      <c r="C68" s="59"/>
      <c r="D68" s="59"/>
      <c r="E68" s="59"/>
      <c r="F68" s="273"/>
      <c r="G68" s="267">
        <v>1.6708185053380783E-2</v>
      </c>
      <c r="H68" s="264"/>
      <c r="I68" s="270">
        <f t="shared" si="5"/>
        <v>0</v>
      </c>
      <c r="J68" s="4">
        <f t="shared" si="6"/>
        <v>0</v>
      </c>
    </row>
    <row r="69" spans="1:10" s="61" customFormat="1" outlineLevel="1" x14ac:dyDescent="0.25">
      <c r="A69" s="68" t="s">
        <v>163</v>
      </c>
      <c r="B69" s="59"/>
      <c r="C69" s="59"/>
      <c r="D69" s="59"/>
      <c r="E69" s="59"/>
      <c r="F69" s="273"/>
      <c r="G69" s="267">
        <v>0.10028469750889679</v>
      </c>
      <c r="H69" s="264"/>
      <c r="I69" s="270">
        <f t="shared" ref="I69:I70" si="7">+H69*G69</f>
        <v>0</v>
      </c>
      <c r="J69" s="4">
        <f t="shared" ref="J69:J70" si="8">IFERROR(I69*$J$12,0)</f>
        <v>0</v>
      </c>
    </row>
    <row r="70" spans="1:10" s="61" customFormat="1" outlineLevel="1" x14ac:dyDescent="0.25">
      <c r="A70" s="68" t="s">
        <v>98</v>
      </c>
      <c r="B70" s="59"/>
      <c r="C70" s="59"/>
      <c r="D70" s="59"/>
      <c r="E70" s="59"/>
      <c r="F70" s="273"/>
      <c r="G70" s="267">
        <v>5.0142348754448396E-2</v>
      </c>
      <c r="H70" s="264"/>
      <c r="I70" s="270">
        <f t="shared" si="7"/>
        <v>0</v>
      </c>
      <c r="J70" s="4">
        <f t="shared" si="8"/>
        <v>0</v>
      </c>
    </row>
    <row r="71" spans="1:10" s="61" customFormat="1" outlineLevel="1" x14ac:dyDescent="0.25">
      <c r="A71" s="68" t="s">
        <v>99</v>
      </c>
      <c r="B71" s="59"/>
      <c r="C71" s="59"/>
      <c r="D71" s="59"/>
      <c r="E71" s="59"/>
      <c r="F71" s="273"/>
      <c r="G71" s="267">
        <v>0.25074733096085405</v>
      </c>
      <c r="H71" s="264"/>
      <c r="I71" s="270">
        <f>+H71*G71</f>
        <v>0</v>
      </c>
      <c r="J71" s="4">
        <f t="shared" si="6"/>
        <v>0</v>
      </c>
    </row>
    <row r="72" spans="1:10" s="61" customFormat="1" outlineLevel="1" x14ac:dyDescent="0.25">
      <c r="A72" s="68" t="s">
        <v>76</v>
      </c>
      <c r="B72" s="59"/>
      <c r="C72" s="59"/>
      <c r="D72" s="59"/>
      <c r="E72" s="59"/>
      <c r="F72" s="273"/>
      <c r="G72" s="267">
        <v>1.0029893238434162</v>
      </c>
      <c r="H72" s="264"/>
      <c r="I72" s="270">
        <f t="shared" ref="I72:I76" si="9">+H72*G72</f>
        <v>0</v>
      </c>
      <c r="J72" s="4">
        <f t="shared" ref="J72:J76" si="10">IFERROR(I72*$J$12,0)</f>
        <v>0</v>
      </c>
    </row>
    <row r="73" spans="1:10" s="61" customFormat="1" outlineLevel="1" x14ac:dyDescent="0.25">
      <c r="A73" s="68" t="s">
        <v>159</v>
      </c>
      <c r="B73" s="59"/>
      <c r="C73" s="59"/>
      <c r="D73" s="59"/>
      <c r="E73" s="59"/>
      <c r="F73" s="273"/>
      <c r="G73" s="267">
        <v>1.6725978647686834E-2</v>
      </c>
      <c r="H73" s="264"/>
      <c r="I73" s="270">
        <f t="shared" si="9"/>
        <v>0</v>
      </c>
      <c r="J73" s="4">
        <f t="shared" si="10"/>
        <v>0</v>
      </c>
    </row>
    <row r="74" spans="1:10" s="61" customFormat="1" outlineLevel="1" x14ac:dyDescent="0.25">
      <c r="A74" s="68" t="s">
        <v>160</v>
      </c>
      <c r="B74" s="59"/>
      <c r="C74" s="59"/>
      <c r="D74" s="59"/>
      <c r="E74" s="59"/>
      <c r="F74" s="273"/>
      <c r="G74" s="267">
        <v>1.6725978647686834E-2</v>
      </c>
      <c r="H74" s="264"/>
      <c r="I74" s="270">
        <f t="shared" si="9"/>
        <v>0</v>
      </c>
      <c r="J74" s="4">
        <f t="shared" si="10"/>
        <v>0</v>
      </c>
    </row>
    <row r="75" spans="1:10" s="61" customFormat="1" outlineLevel="1" x14ac:dyDescent="0.25">
      <c r="A75" s="68" t="s">
        <v>161</v>
      </c>
      <c r="B75" s="59"/>
      <c r="C75" s="59"/>
      <c r="D75" s="59"/>
      <c r="E75" s="59"/>
      <c r="F75" s="273"/>
      <c r="G75" s="267">
        <v>1.6725978647686834E-2</v>
      </c>
      <c r="H75" s="264"/>
      <c r="I75" s="270">
        <f t="shared" si="9"/>
        <v>0</v>
      </c>
      <c r="J75" s="4">
        <f t="shared" si="10"/>
        <v>0</v>
      </c>
    </row>
    <row r="76" spans="1:10" s="61" customFormat="1" outlineLevel="1" x14ac:dyDescent="0.25">
      <c r="A76" s="68" t="s">
        <v>162</v>
      </c>
      <c r="B76" s="59"/>
      <c r="C76" s="59"/>
      <c r="D76" s="59"/>
      <c r="E76" s="59"/>
      <c r="F76" s="273"/>
      <c r="G76" s="267">
        <v>1.0698576512455515</v>
      </c>
      <c r="H76" s="264"/>
      <c r="I76" s="270">
        <f t="shared" si="9"/>
        <v>0</v>
      </c>
      <c r="J76" s="4">
        <f t="shared" si="10"/>
        <v>0</v>
      </c>
    </row>
    <row r="77" spans="1:10" s="61" customFormat="1" outlineLevel="1" x14ac:dyDescent="0.25">
      <c r="A77" s="68" t="s">
        <v>96</v>
      </c>
      <c r="B77" s="59"/>
      <c r="C77" s="59"/>
      <c r="D77" s="59"/>
      <c r="E77" s="59"/>
      <c r="F77" s="273"/>
      <c r="G77" s="267"/>
      <c r="H77" s="276"/>
      <c r="I77" s="269"/>
      <c r="J77" s="4">
        <f>IFERROR(I77*$J$12,0)</f>
        <v>0</v>
      </c>
    </row>
    <row r="78" spans="1:10" s="61" customFormat="1" outlineLevel="1" x14ac:dyDescent="0.25">
      <c r="A78" s="68" t="s">
        <v>89</v>
      </c>
      <c r="B78" s="59"/>
      <c r="C78" s="59"/>
      <c r="D78" s="59"/>
      <c r="E78" s="59"/>
      <c r="F78" s="273"/>
      <c r="G78" s="267"/>
      <c r="H78" s="276"/>
      <c r="I78" s="269"/>
      <c r="J78" s="4">
        <f t="shared" si="6"/>
        <v>0</v>
      </c>
    </row>
    <row r="79" spans="1:10" s="61" customFormat="1" outlineLevel="1" x14ac:dyDescent="0.25">
      <c r="A79" s="68" t="s">
        <v>79</v>
      </c>
      <c r="B79" s="59"/>
      <c r="C79" s="59"/>
      <c r="D79" s="59"/>
      <c r="E79" s="59"/>
      <c r="F79" s="273"/>
      <c r="G79" s="267"/>
      <c r="H79" s="276"/>
      <c r="I79" s="269"/>
      <c r="J79" s="4">
        <f t="shared" si="6"/>
        <v>0</v>
      </c>
    </row>
    <row r="80" spans="1:10" s="61" customFormat="1" outlineLevel="1" x14ac:dyDescent="0.25">
      <c r="A80" s="68" t="s">
        <v>80</v>
      </c>
      <c r="B80" s="59"/>
      <c r="C80" s="59"/>
      <c r="D80" s="59"/>
      <c r="E80" s="59"/>
      <c r="F80" s="273"/>
      <c r="G80" s="267"/>
      <c r="H80" s="276"/>
      <c r="I80" s="269"/>
      <c r="J80" s="4">
        <f t="shared" si="6"/>
        <v>0</v>
      </c>
    </row>
    <row r="81" spans="1:14" s="61" customFormat="1" outlineLevel="1" x14ac:dyDescent="0.25">
      <c r="A81" s="68" t="s">
        <v>84</v>
      </c>
      <c r="B81" s="59"/>
      <c r="C81" s="59"/>
      <c r="D81" s="59"/>
      <c r="E81" s="59"/>
      <c r="F81" s="273"/>
      <c r="G81" s="267"/>
      <c r="H81" s="276"/>
      <c r="I81" s="269"/>
      <c r="J81" s="4">
        <f t="shared" si="6"/>
        <v>0</v>
      </c>
      <c r="N81" s="154"/>
    </row>
    <row r="82" spans="1:14" s="61" customFormat="1" outlineLevel="1" x14ac:dyDescent="0.25">
      <c r="A82" s="280" t="s">
        <v>206</v>
      </c>
      <c r="B82" s="281" t="s">
        <v>206</v>
      </c>
      <c r="C82" s="281"/>
      <c r="D82" s="281"/>
      <c r="E82" s="266"/>
      <c r="F82" s="273"/>
      <c r="G82" s="267"/>
      <c r="H82" s="268"/>
      <c r="I82" s="269"/>
      <c r="J82" s="4">
        <f>IFERROR(I82*$J$12,0)</f>
        <v>0</v>
      </c>
      <c r="N82" s="154"/>
    </row>
    <row r="83" spans="1:14" s="61" customFormat="1" outlineLevel="1" x14ac:dyDescent="0.25">
      <c r="A83" s="280"/>
      <c r="B83" s="281"/>
      <c r="C83" s="281"/>
      <c r="D83" s="281"/>
      <c r="E83" s="266"/>
      <c r="F83" s="273"/>
      <c r="G83" s="267"/>
      <c r="H83" s="268"/>
      <c r="I83" s="269"/>
      <c r="J83" s="4">
        <f t="shared" si="6"/>
        <v>0</v>
      </c>
    </row>
    <row r="84" spans="1:14" s="61" customFormat="1" x14ac:dyDescent="0.25">
      <c r="A84" s="158" t="s">
        <v>101</v>
      </c>
      <c r="B84" s="166"/>
      <c r="C84" s="166"/>
      <c r="D84" s="166"/>
      <c r="E84" s="140"/>
      <c r="F84" s="140"/>
      <c r="G84" s="140"/>
      <c r="H84" s="258" t="s">
        <v>147</v>
      </c>
      <c r="I84" s="259">
        <f>SUM(I41:I83)</f>
        <v>0</v>
      </c>
      <c r="J84" s="141"/>
    </row>
    <row r="85" spans="1:14" s="61" customFormat="1" ht="5.25" customHeight="1" x14ac:dyDescent="0.25">
      <c r="A85" s="65"/>
      <c r="B85" s="63"/>
      <c r="C85" s="63"/>
      <c r="D85" s="63"/>
      <c r="E85" s="63"/>
      <c r="F85" s="63"/>
      <c r="G85" s="63"/>
      <c r="H85" s="63"/>
      <c r="I85" s="63"/>
      <c r="J85" s="66"/>
    </row>
    <row r="86" spans="1:14" s="61" customFormat="1" x14ac:dyDescent="0.25">
      <c r="A86" s="132" t="s">
        <v>50</v>
      </c>
      <c r="B86" s="133"/>
      <c r="C86" s="133"/>
      <c r="D86" s="133"/>
      <c r="E86" s="133"/>
      <c r="F86" s="133"/>
      <c r="G86" s="133"/>
      <c r="H86" s="112" t="s">
        <v>4</v>
      </c>
      <c r="I86" s="112" t="s">
        <v>69</v>
      </c>
      <c r="J86" s="113" t="s">
        <v>3</v>
      </c>
    </row>
    <row r="87" spans="1:14" s="61" customFormat="1" outlineLevel="1" x14ac:dyDescent="0.25">
      <c r="A87" s="68" t="s">
        <v>68</v>
      </c>
      <c r="B87" s="59"/>
      <c r="C87" s="59"/>
      <c r="D87" s="59"/>
      <c r="E87" s="59"/>
      <c r="F87" s="59"/>
      <c r="G87" s="59"/>
      <c r="H87" s="253"/>
      <c r="I87" s="60">
        <v>3.12</v>
      </c>
      <c r="J87" s="4" t="str">
        <f>IF(H87="","",I87*H87)</f>
        <v/>
      </c>
      <c r="L87" s="105"/>
    </row>
    <row r="88" spans="1:14" s="61" customFormat="1" outlineLevel="1" x14ac:dyDescent="0.25">
      <c r="A88" s="68" t="s">
        <v>67</v>
      </c>
      <c r="B88" s="59"/>
      <c r="C88" s="59"/>
      <c r="D88" s="59"/>
      <c r="E88" s="59"/>
      <c r="F88" s="59"/>
      <c r="G88" s="59"/>
      <c r="H88" s="264"/>
      <c r="I88" s="60">
        <v>24.96</v>
      </c>
      <c r="J88" s="4" t="str">
        <f>IF(H88="","",I88*H88)</f>
        <v/>
      </c>
    </row>
    <row r="89" spans="1:14" s="61" customFormat="1" outlineLevel="1" x14ac:dyDescent="0.25">
      <c r="A89" s="68" t="s">
        <v>243</v>
      </c>
      <c r="B89" s="59"/>
      <c r="C89" s="59"/>
      <c r="D89" s="59"/>
      <c r="E89" s="59"/>
      <c r="F89" s="59"/>
      <c r="G89" s="59"/>
      <c r="H89" s="264"/>
      <c r="I89" s="60">
        <v>19.600000000000001</v>
      </c>
      <c r="J89" s="4" t="str">
        <f>IF(H89="","",I89*H89)</f>
        <v/>
      </c>
    </row>
    <row r="90" spans="1:14" s="61" customFormat="1" outlineLevel="1" x14ac:dyDescent="0.25">
      <c r="A90" s="68" t="s">
        <v>244</v>
      </c>
      <c r="B90" s="59"/>
      <c r="C90" s="59"/>
      <c r="D90" s="59"/>
      <c r="E90" s="59"/>
      <c r="F90" s="59"/>
      <c r="G90" s="59"/>
      <c r="H90" s="264"/>
      <c r="I90" s="60">
        <v>38.1</v>
      </c>
      <c r="J90" s="4" t="str">
        <f>IF(H90="","",I90*H90)</f>
        <v/>
      </c>
    </row>
    <row r="91" spans="1:14" s="61" customFormat="1" outlineLevel="1" x14ac:dyDescent="0.25">
      <c r="A91" s="68" t="s">
        <v>246</v>
      </c>
      <c r="B91" s="59"/>
      <c r="C91" s="59"/>
      <c r="D91" s="59"/>
      <c r="E91" s="59"/>
      <c r="F91" s="59"/>
      <c r="G91" s="59"/>
      <c r="H91" s="264"/>
      <c r="I91" s="60">
        <v>31.2</v>
      </c>
      <c r="J91" s="4" t="str">
        <f>IF(H91="","",I91*H91)</f>
        <v/>
      </c>
    </row>
    <row r="92" spans="1:14" s="61" customFormat="1" outlineLevel="1" x14ac:dyDescent="0.25">
      <c r="A92" s="68" t="s">
        <v>247</v>
      </c>
      <c r="B92" s="59"/>
      <c r="C92" s="59"/>
      <c r="D92" s="59"/>
      <c r="E92" s="59"/>
      <c r="F92" s="59"/>
      <c r="G92" s="59"/>
      <c r="H92" s="264"/>
      <c r="I92" s="60">
        <v>261.04000000000002</v>
      </c>
      <c r="J92" s="4" t="str">
        <f>IF(H92="","",I92*H92)</f>
        <v/>
      </c>
    </row>
    <row r="93" spans="1:14" s="61" customFormat="1" outlineLevel="1" x14ac:dyDescent="0.25">
      <c r="A93" s="68" t="s">
        <v>245</v>
      </c>
      <c r="B93" s="59"/>
      <c r="C93" s="59"/>
      <c r="D93" s="59"/>
      <c r="E93" s="59"/>
      <c r="F93" s="59"/>
      <c r="G93" s="59"/>
      <c r="H93" s="264"/>
      <c r="I93" s="60">
        <v>25.9</v>
      </c>
      <c r="J93" s="4" t="str">
        <f>IF(H93="","",I93*H93)</f>
        <v/>
      </c>
    </row>
    <row r="94" spans="1:14" s="61" customFormat="1" outlineLevel="1" x14ac:dyDescent="0.25">
      <c r="A94" s="68" t="s">
        <v>248</v>
      </c>
      <c r="B94" s="59"/>
      <c r="C94" s="59"/>
      <c r="D94" s="59"/>
      <c r="E94" s="59"/>
      <c r="F94" s="59"/>
      <c r="G94" s="59"/>
      <c r="H94" s="264"/>
      <c r="I94" s="60">
        <v>52.59</v>
      </c>
      <c r="J94" s="4" t="str">
        <f>IF(H94="","",I94*H94)</f>
        <v/>
      </c>
    </row>
    <row r="95" spans="1:14" s="61" customFormat="1" x14ac:dyDescent="0.25">
      <c r="A95" s="139"/>
      <c r="B95" s="140"/>
      <c r="C95" s="140"/>
      <c r="D95" s="140"/>
      <c r="E95" s="140"/>
      <c r="F95" s="140"/>
      <c r="G95" s="140"/>
      <c r="H95" s="140"/>
      <c r="I95" s="140"/>
      <c r="J95" s="141"/>
    </row>
    <row r="96" spans="1:14" s="61" customFormat="1" ht="5.25" customHeight="1" x14ac:dyDescent="0.25">
      <c r="A96" s="65"/>
      <c r="B96" s="63"/>
      <c r="C96" s="63"/>
      <c r="D96" s="63"/>
      <c r="E96" s="63"/>
      <c r="F96" s="63"/>
      <c r="G96" s="63"/>
      <c r="H96" s="63"/>
      <c r="I96" s="63"/>
      <c r="J96" s="66"/>
    </row>
    <row r="97" spans="1:12" x14ac:dyDescent="0.25">
      <c r="A97" s="132" t="s">
        <v>24</v>
      </c>
      <c r="B97" s="133"/>
      <c r="C97" s="133"/>
      <c r="D97" s="133"/>
      <c r="E97" s="133"/>
      <c r="F97" s="133"/>
      <c r="G97" s="134"/>
      <c r="H97" s="134"/>
      <c r="I97" s="111"/>
      <c r="J97" s="113" t="s">
        <v>3</v>
      </c>
    </row>
    <row r="98" spans="1:12" outlineLevel="1" x14ac:dyDescent="0.25">
      <c r="A98" s="280" t="s">
        <v>22</v>
      </c>
      <c r="B98" s="281"/>
      <c r="C98" s="281"/>
      <c r="D98" s="281"/>
      <c r="E98" s="266"/>
      <c r="F98" s="268"/>
      <c r="G98" s="268"/>
      <c r="H98" s="268"/>
      <c r="I98" s="268"/>
      <c r="J98" s="282"/>
    </row>
    <row r="99" spans="1:12" outlineLevel="1" x14ac:dyDescent="0.25">
      <c r="A99" s="280" t="s">
        <v>22</v>
      </c>
      <c r="B99" s="281"/>
      <c r="C99" s="281"/>
      <c r="D99" s="281"/>
      <c r="E99" s="266"/>
      <c r="F99" s="268"/>
      <c r="G99" s="268"/>
      <c r="H99" s="268"/>
      <c r="I99" s="268"/>
      <c r="J99" s="282"/>
    </row>
    <row r="100" spans="1:12" x14ac:dyDescent="0.25">
      <c r="A100" s="24"/>
      <c r="B100" s="27"/>
      <c r="C100" s="27"/>
      <c r="D100" s="27"/>
      <c r="E100" s="27"/>
      <c r="F100" s="27"/>
      <c r="G100" s="27"/>
      <c r="H100" s="22"/>
      <c r="I100" s="22"/>
      <c r="J100" s="23"/>
    </row>
    <row r="101" spans="1:12" ht="15.75" thickBot="1" x14ac:dyDescent="0.3">
      <c r="A101" s="8" t="s">
        <v>6</v>
      </c>
      <c r="B101" s="10"/>
      <c r="C101" s="10"/>
      <c r="D101" s="10"/>
      <c r="E101" s="10"/>
      <c r="F101" s="9"/>
      <c r="G101" s="9"/>
      <c r="H101" s="10"/>
      <c r="I101" s="10"/>
      <c r="J101" s="11">
        <f>SUM(J102:J106)</f>
        <v>0</v>
      </c>
    </row>
    <row r="102" spans="1:12" x14ac:dyDescent="0.25">
      <c r="A102" s="122" t="s">
        <v>61</v>
      </c>
      <c r="B102" s="123"/>
      <c r="C102" s="123"/>
      <c r="D102" s="123"/>
      <c r="E102" s="123"/>
      <c r="F102" s="124"/>
      <c r="G102" s="124"/>
      <c r="H102" s="125"/>
      <c r="I102" s="125"/>
      <c r="J102" s="126">
        <f>SUM(J18:J29)</f>
        <v>0</v>
      </c>
    </row>
    <row r="103" spans="1:12" x14ac:dyDescent="0.25">
      <c r="A103" s="127" t="s">
        <v>107</v>
      </c>
      <c r="B103" s="128"/>
      <c r="C103" s="128"/>
      <c r="D103" s="128"/>
      <c r="E103" s="128"/>
      <c r="F103" s="129"/>
      <c r="G103" s="129"/>
      <c r="H103" s="130"/>
      <c r="I103" s="200" t="str">
        <f>IF(SUM(I41:I83)=0,"",SUM(I41:I83))</f>
        <v/>
      </c>
      <c r="J103" s="131">
        <f>SUM(J42:J83)</f>
        <v>0</v>
      </c>
    </row>
    <row r="104" spans="1:12" s="61" customFormat="1" x14ac:dyDescent="0.25">
      <c r="A104" s="127" t="s">
        <v>63</v>
      </c>
      <c r="B104" s="128"/>
      <c r="C104" s="128"/>
      <c r="D104" s="128"/>
      <c r="E104" s="128"/>
      <c r="F104" s="129"/>
      <c r="G104" s="129"/>
      <c r="H104" s="130"/>
      <c r="I104" s="130"/>
      <c r="J104" s="131">
        <f>+SUM(J87:J94)</f>
        <v>0</v>
      </c>
    </row>
    <row r="105" spans="1:12" s="61" customFormat="1" x14ac:dyDescent="0.25">
      <c r="A105" s="127" t="s">
        <v>62</v>
      </c>
      <c r="B105" s="128"/>
      <c r="C105" s="128"/>
      <c r="D105" s="128"/>
      <c r="E105" s="128"/>
      <c r="F105" s="129"/>
      <c r="G105" s="129"/>
      <c r="H105" s="130"/>
      <c r="I105" s="130"/>
      <c r="J105" s="131">
        <f>+SUM(J33:J37)</f>
        <v>0</v>
      </c>
    </row>
    <row r="106" spans="1:12" ht="15.75" thickBot="1" x14ac:dyDescent="0.3">
      <c r="A106" s="203" t="s">
        <v>23</v>
      </c>
      <c r="B106" s="204"/>
      <c r="C106" s="204"/>
      <c r="D106" s="204"/>
      <c r="E106" s="204"/>
      <c r="F106" s="205"/>
      <c r="G106" s="205"/>
      <c r="H106" s="206"/>
      <c r="I106" s="206"/>
      <c r="J106" s="207">
        <f>SUM(J98:J99)</f>
        <v>0</v>
      </c>
    </row>
    <row r="108" spans="1:12" x14ac:dyDescent="0.25">
      <c r="A108" s="58"/>
      <c r="B108" s="58"/>
      <c r="C108" s="58"/>
      <c r="D108" s="58"/>
      <c r="E108" s="13"/>
      <c r="F108" s="21"/>
      <c r="G108" s="21"/>
      <c r="H108" s="12"/>
      <c r="I108" s="12"/>
      <c r="J108" s="12"/>
      <c r="K108" s="12"/>
      <c r="L108" s="12"/>
    </row>
  </sheetData>
  <mergeCells count="7">
    <mergeCell ref="F3:J3"/>
    <mergeCell ref="A15:J15"/>
    <mergeCell ref="F4:J4"/>
    <mergeCell ref="F5:J5"/>
    <mergeCell ref="G16:H16"/>
    <mergeCell ref="E16:F16"/>
    <mergeCell ref="F6:J6"/>
  </mergeCells>
  <dataValidations xWindow="1001" yWindow="581" count="8">
    <dataValidation type="list" allowBlank="1" showInputMessage="1" showErrorMessage="1" sqref="F58:F83 F50:F55">
      <formula1>$A$18:$A$29</formula1>
    </dataValidation>
    <dataValidation type="custom" allowBlank="1" showInputMessage="1" showErrorMessage="1" error="Tast enten i kolonnen &quot;Pr. uge&quot; eller &quot;I alt&quot; - der må ikke stå noget i begge kolonner" prompt="Ved et variabelt antal bure pr. uge udfyldes denne kolonne med summen af bure for perioden." sqref="H33:H34">
      <formula1>IF(G33="",TRUE,FALSE)</formula1>
    </dataValidation>
    <dataValidation type="custom" allowBlank="1" showInputMessage="1" showErrorMessage="1" error="Tast enten i kolonnen &quot;Pr. uge&quot; eller &quot;I alt&quot; - der må ikke stå noget i begge kolonner" prompt="Ved et fast antal bure pr. uge udfyldes denne kolonne med det aftalte antal bure." sqref="G33:G34">
      <formula1>IF(H33="",TRUE,FALSE)</formula1>
    </dataValidation>
    <dataValidation allowBlank="1" showInputMessage="1" showErrorMessage="1" prompt="Angiv i format dd-mm-åååå" sqref="E36:F37"/>
    <dataValidation type="whole" allowBlank="1" showInputMessage="1" showErrorMessage="1" promptTitle="Slut uge" prompt="Angiv ugenummer for ydelsens sidste dag. Der afregnes i hele uger." sqref="F18:F29">
      <formula1>0</formula1>
      <formula2>53</formula2>
    </dataValidation>
    <dataValidation type="whole" allowBlank="1" showInputMessage="1" showErrorMessage="1" promptTitle="Start uge" prompt="Angiv ugenummer for ydelsens første dag. Der afregnes i hele uger." sqref="E18:E29">
      <formula1>0</formula1>
      <formula2>53</formula2>
    </dataValidation>
    <dataValidation type="custom" allowBlank="1" showInputMessage="1" showErrorMessage="1" error="Tast enten i kolonnen &quot;Pr. uge&quot; eller &quot;I alt&quot; - der må ikke stå noget i begge kolonner" promptTitle="Antal bure i alt" prompt="Ved et variabelt antal bure pr. uge udfyldes denne kolonne med summen af bure for perioden." sqref="H18:H29">
      <formula1>IF(G18="",TRUE,FALSE)</formula1>
    </dataValidation>
    <dataValidation type="custom" allowBlank="1" showInputMessage="1" showErrorMessage="1" error="Tast enten i kolonnen &quot;Pr. uge&quot; eller &quot;I alt&quot; - der må ikke stå noget i begge kolonner" promptTitle="Antal bure pr. uge" prompt="Ved et fast antal bure pr. uge udfyldes denne kolonne med det aftalte antal bure." sqref="G18:G29">
      <formula1>IF(H18="",TRUE,FALSE)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79" orientation="portrait"/>
  <headerFooter>
    <oddHeader>&amp;CDetaljeret budget</oddHeader>
    <oddFooter>&amp;L&amp;D</oddFooter>
  </headerFooter>
  <legacyDrawing r:id="rId1"/>
  <extLst>
    <ext xmlns:x14="http://schemas.microsoft.com/office/spreadsheetml/2009/9/main" uri="{CCE6A557-97BC-4b89-ADB6-D9C93CAAB3DF}">
      <x14:dataValidations xmlns:xm="http://schemas.microsoft.com/office/excel/2006/main" xWindow="1001" yWindow="581" count="5">
        <x14:dataValidation type="list" allowBlank="1" showInputMessage="1" showErrorMessage="1">
          <x14:formula1>
            <xm:f>'Basis oplysn.'!$C$1:$E$1</xm:f>
          </x14:formula1>
          <xm:sqref>F7</xm:sqref>
        </x14:dataValidation>
        <x14:dataValidation type="list" allowBlank="1">
          <x14:formula1>
            <xm:f>Projekter!$C:$C</xm:f>
          </x14:formula1>
          <xm:sqref>F5:J5</xm:sqref>
        </x14:dataValidation>
        <x14:dataValidation type="list" allowBlank="1" showInputMessage="1" promptTitle="Vælg fra fanen 'Projekter*">
          <x14:formula1>
            <xm:f>Projekter!$A:$A</xm:f>
          </x14:formula1>
          <xm:sqref>F3:J3</xm:sqref>
        </x14:dataValidation>
        <x14:dataValidation type="list" allowBlank="1" showInputMessage="1">
          <x14:formula1>
            <xm:f>Projekter!$B:$B</xm:f>
          </x14:formula1>
          <xm:sqref>F4:J4</xm:sqref>
        </x14:dataValidation>
        <x14:dataValidation type="list" allowBlank="1" showInputMessage="1" showErrorMessage="1" promptTitle="Vælg burtype">
          <x14:formula1>
            <xm:f>'Basis oplysn.'!$H$3:$H$7</xm:f>
          </x14:formula1>
          <xm:sqref>C18:C29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5"/>
  <sheetViews>
    <sheetView zoomScaleNormal="100" workbookViewId="0">
      <selection activeCell="F1" sqref="F1"/>
    </sheetView>
  </sheetViews>
  <sheetFormatPr defaultRowHeight="15" outlineLevelRow="2" x14ac:dyDescent="0.25"/>
  <cols>
    <col min="1" max="1" width="7.42578125" customWidth="1"/>
    <col min="2" max="2" width="26" style="61" customWidth="1"/>
    <col min="3" max="3" width="15.42578125" customWidth="1"/>
    <col min="4" max="4" width="15.42578125" style="61" customWidth="1"/>
    <col min="5" max="6" width="19.140625" customWidth="1"/>
    <col min="7" max="7" width="12.42578125" style="61" customWidth="1"/>
    <col min="8" max="8" width="16" style="61" bestFit="1" customWidth="1"/>
    <col min="12" max="12" width="29" customWidth="1"/>
  </cols>
  <sheetData>
    <row r="1" spans="1:8" ht="29.25" customHeight="1" x14ac:dyDescent="0.25">
      <c r="A1" s="77" t="s">
        <v>5</v>
      </c>
      <c r="B1" s="173"/>
      <c r="C1" s="323">
        <f>+'Aftale Input'!F3</f>
        <v>0</v>
      </c>
      <c r="D1" s="323"/>
      <c r="E1" s="324"/>
      <c r="G1"/>
      <c r="H1"/>
    </row>
    <row r="2" spans="1:8" ht="30" customHeight="1" x14ac:dyDescent="0.25">
      <c r="A2" s="73" t="s">
        <v>0</v>
      </c>
      <c r="B2" s="174"/>
      <c r="C2" s="325">
        <f>+'Aftale Input'!F4</f>
        <v>0</v>
      </c>
      <c r="D2" s="325"/>
      <c r="E2" s="326"/>
      <c r="G2"/>
      <c r="H2"/>
    </row>
    <row r="3" spans="1:8" ht="30" customHeight="1" thickBot="1" x14ac:dyDescent="0.3">
      <c r="A3" s="78" t="s">
        <v>1</v>
      </c>
      <c r="B3" s="175"/>
      <c r="C3" s="327">
        <f>+'Aftale Input'!F5</f>
        <v>0</v>
      </c>
      <c r="D3" s="327"/>
      <c r="E3" s="328"/>
      <c r="G3"/>
      <c r="H3"/>
    </row>
    <row r="4" spans="1:8" s="61" customFormat="1" ht="13.5" customHeight="1" thickBot="1" x14ac:dyDescent="0.3">
      <c r="A4" s="87"/>
      <c r="B4" s="13"/>
      <c r="C4" s="74"/>
      <c r="D4" s="74"/>
      <c r="E4" s="74"/>
      <c r="F4" s="74"/>
    </row>
    <row r="5" spans="1:8" s="61" customFormat="1" ht="21" customHeight="1" x14ac:dyDescent="0.25">
      <c r="A5" s="99" t="s">
        <v>60</v>
      </c>
      <c r="B5" s="176"/>
      <c r="C5" s="83"/>
      <c r="D5" s="83"/>
      <c r="E5" s="84">
        <f>+'Aftale Input'!J102</f>
        <v>0</v>
      </c>
    </row>
    <row r="6" spans="1:8" s="61" customFormat="1" ht="21" customHeight="1" x14ac:dyDescent="0.25">
      <c r="A6" s="73" t="s">
        <v>28</v>
      </c>
      <c r="B6" s="174"/>
      <c r="C6" s="72"/>
      <c r="D6" s="72"/>
      <c r="E6" s="76">
        <f>+'Aftale Input'!J103</f>
        <v>0</v>
      </c>
    </row>
    <row r="7" spans="1:8" s="61" customFormat="1" ht="21" customHeight="1" x14ac:dyDescent="0.25">
      <c r="A7" s="73" t="s">
        <v>64</v>
      </c>
      <c r="B7" s="174"/>
      <c r="C7" s="72"/>
      <c r="D7" s="72"/>
      <c r="E7" s="76">
        <f>+'Aftale Input'!J104</f>
        <v>0</v>
      </c>
    </row>
    <row r="8" spans="1:8" s="61" customFormat="1" ht="21" customHeight="1" x14ac:dyDescent="0.25">
      <c r="A8" s="73" t="s">
        <v>65</v>
      </c>
      <c r="B8" s="174"/>
      <c r="C8" s="72"/>
      <c r="D8" s="72"/>
      <c r="E8" s="76">
        <f>+'Aftale Input'!J105</f>
        <v>0</v>
      </c>
    </row>
    <row r="9" spans="1:8" s="61" customFormat="1" ht="21" customHeight="1" x14ac:dyDescent="0.25">
      <c r="A9" s="73" t="s">
        <v>26</v>
      </c>
      <c r="B9" s="174"/>
      <c r="C9" s="72"/>
      <c r="D9" s="72"/>
      <c r="E9" s="76">
        <f>+'Aftale Input'!J106</f>
        <v>0</v>
      </c>
    </row>
    <row r="10" spans="1:8" s="61" customFormat="1" ht="30" customHeight="1" thickBot="1" x14ac:dyDescent="0.3">
      <c r="A10" s="78" t="s">
        <v>27</v>
      </c>
      <c r="B10" s="175"/>
      <c r="C10" s="81"/>
      <c r="D10" s="81"/>
      <c r="E10" s="75">
        <f>SUM(E5:E9)</f>
        <v>0</v>
      </c>
    </row>
    <row r="11" spans="1:8" s="61" customFormat="1" x14ac:dyDescent="0.25">
      <c r="A11" s="80" t="str">
        <f>IF('Aftale Input'!F7="UK90","","* Pris er beregnet på baggrund af gns. løn for dyrepasser. Den konkrete timeafregning for specifik medarbejder på projekt kan afvige.")</f>
        <v>* Pris er beregnet på baggrund af gns. løn for dyrepasser. Den konkrete timeafregning for specifik medarbejder på projekt kan afvige.</v>
      </c>
      <c r="B11" s="80"/>
      <c r="C11" s="74"/>
      <c r="D11" s="74"/>
      <c r="E11" s="74"/>
      <c r="F11" s="79"/>
    </row>
    <row r="12" spans="1:8" s="61" customFormat="1" ht="7.5" customHeight="1" x14ac:dyDescent="0.25">
      <c r="A12" s="80"/>
      <c r="B12" s="80"/>
      <c r="C12" s="74"/>
      <c r="D12" s="74"/>
      <c r="E12" s="74"/>
      <c r="F12" s="79"/>
    </row>
    <row r="13" spans="1:8" s="61" customFormat="1" ht="7.5" customHeight="1" x14ac:dyDescent="0.25">
      <c r="A13" s="80"/>
      <c r="B13" s="80"/>
      <c r="C13" s="74"/>
      <c r="D13" s="74"/>
      <c r="E13" s="74"/>
      <c r="F13" s="79"/>
    </row>
    <row r="14" spans="1:8" s="61" customFormat="1" ht="7.5" customHeight="1" x14ac:dyDescent="0.25">
      <c r="A14" s="80"/>
      <c r="B14" s="80"/>
      <c r="C14" s="74"/>
      <c r="D14" s="74"/>
      <c r="E14" s="74"/>
      <c r="F14" s="79"/>
    </row>
    <row r="15" spans="1:8" s="61" customFormat="1" ht="8.25" customHeight="1" x14ac:dyDescent="0.25">
      <c r="A15" s="80"/>
      <c r="B15" s="80"/>
      <c r="C15" s="74"/>
      <c r="D15" s="74"/>
      <c r="E15" s="74"/>
      <c r="F15" s="79"/>
    </row>
    <row r="16" spans="1:8" s="61" customFormat="1" ht="15.75" thickBot="1" x14ac:dyDescent="0.3">
      <c r="A16" s="13" t="s">
        <v>25</v>
      </c>
      <c r="B16" s="13"/>
      <c r="C16" s="74"/>
      <c r="D16" s="74"/>
      <c r="E16" s="74"/>
      <c r="F16" s="74"/>
    </row>
    <row r="17" spans="1:8" ht="30" customHeight="1" x14ac:dyDescent="0.25">
      <c r="A17" s="181" t="s">
        <v>130</v>
      </c>
      <c r="B17" s="173" t="s">
        <v>59</v>
      </c>
      <c r="C17" s="172"/>
      <c r="D17" s="104" t="s">
        <v>146</v>
      </c>
      <c r="E17" s="92" t="str">
        <f>+'Aftale Input'!E17</f>
        <v xml:space="preserve">Start uge </v>
      </c>
      <c r="F17" s="92" t="str">
        <f>+'Aftale Input'!F17</f>
        <v>Slut uge</v>
      </c>
      <c r="G17" s="92" t="str">
        <f>+'Aftale Input'!I17</f>
        <v>Hele uger</v>
      </c>
      <c r="H17" s="85" t="s">
        <v>30</v>
      </c>
    </row>
    <row r="18" spans="1:8" x14ac:dyDescent="0.25">
      <c r="A18" s="180" t="str">
        <f>IF('Aftale Input'!A18="","",'Aftale Input'!A18)</f>
        <v>A.</v>
      </c>
      <c r="B18" s="152" t="str">
        <f>IF('Aftale Input'!C18="","",CONCATENATE("Rum ",'Aftale Input'!B18," - Bur areal ",'Aftale Input'!C18))</f>
        <v/>
      </c>
      <c r="C18" s="91"/>
      <c r="D18" s="170" t="str">
        <f>IF(E18="","",IF('Aftale Input'!G18="",'Aftale Input'!H18,'Aftale Input'!G18*'Aftale Input'!I18))</f>
        <v/>
      </c>
      <c r="E18" s="135" t="str">
        <f>IF('Aftale Input'!E18="","",'Aftale Input'!E18)</f>
        <v/>
      </c>
      <c r="F18" s="135" t="str">
        <f>IF('Aftale Input'!F18="","",'Aftale Input'!F18)</f>
        <v/>
      </c>
      <c r="G18" s="71" t="str">
        <f>IF('Aftale Input'!I18=0,"",'Aftale Input'!I18)</f>
        <v/>
      </c>
      <c r="H18" s="142" t="str">
        <f>IF('Aftale Input'!J18=0,"",'Aftale Input'!J18)</f>
        <v/>
      </c>
    </row>
    <row r="19" spans="1:8" s="61" customFormat="1" x14ac:dyDescent="0.25">
      <c r="A19" s="180" t="str">
        <f>IF('Aftale Input'!A19="","",'Aftale Input'!A19)</f>
        <v>B.</v>
      </c>
      <c r="B19" s="152" t="str">
        <f>IF('Aftale Input'!C19="","",CONCATENATE("Rum ",'Aftale Input'!B19," - Bur areal ",'Aftale Input'!C19))</f>
        <v/>
      </c>
      <c r="C19" s="91"/>
      <c r="D19" s="170" t="str">
        <f>IF(E19="","",IF('Aftale Input'!G19="",'Aftale Input'!H19,'Aftale Input'!G19*'Aftale Input'!I19))</f>
        <v/>
      </c>
      <c r="E19" s="135" t="str">
        <f>IF('Aftale Input'!E19="","",'Aftale Input'!E19)</f>
        <v/>
      </c>
      <c r="F19" s="135" t="str">
        <f>IF('Aftale Input'!F19="","",'Aftale Input'!F19)</f>
        <v/>
      </c>
      <c r="G19" s="71" t="str">
        <f>IF('Aftale Input'!I19=0,"",'Aftale Input'!I19)</f>
        <v/>
      </c>
      <c r="H19" s="142" t="str">
        <f>IF('Aftale Input'!J19=0,"",'Aftale Input'!J19)</f>
        <v/>
      </c>
    </row>
    <row r="20" spans="1:8" s="61" customFormat="1" x14ac:dyDescent="0.25">
      <c r="A20" s="180" t="str">
        <f>IF('Aftale Input'!A20="","",'Aftale Input'!A20)</f>
        <v xml:space="preserve">C. </v>
      </c>
      <c r="B20" s="152" t="str">
        <f>IF('Aftale Input'!C20="","",CONCATENATE("Rum ",'Aftale Input'!B20," - Bur areal ",'Aftale Input'!C20))</f>
        <v/>
      </c>
      <c r="C20" s="91"/>
      <c r="D20" s="170" t="str">
        <f>IF(E20="","",IF('Aftale Input'!G20="",'Aftale Input'!H20,'Aftale Input'!G20*'Aftale Input'!I20))</f>
        <v/>
      </c>
      <c r="E20" s="135" t="str">
        <f>IF('Aftale Input'!E20="","",'Aftale Input'!E20)</f>
        <v/>
      </c>
      <c r="F20" s="135" t="str">
        <f>IF('Aftale Input'!F20="","",'Aftale Input'!F20)</f>
        <v/>
      </c>
      <c r="G20" s="71" t="str">
        <f>IF('Aftale Input'!I20=0,"",'Aftale Input'!I20)</f>
        <v/>
      </c>
      <c r="H20" s="142" t="str">
        <f>IF('Aftale Input'!J20=0,"",'Aftale Input'!J20)</f>
        <v/>
      </c>
    </row>
    <row r="21" spans="1:8" s="61" customFormat="1" x14ac:dyDescent="0.25">
      <c r="A21" s="180" t="str">
        <f>IF('Aftale Input'!A21="","",'Aftale Input'!A21)</f>
        <v>D.</v>
      </c>
      <c r="B21" s="152" t="str">
        <f>IF('Aftale Input'!C21="","",CONCATENATE("Rum ",'Aftale Input'!B21," - Bur areal ",'Aftale Input'!C21))</f>
        <v/>
      </c>
      <c r="C21" s="91"/>
      <c r="D21" s="170" t="str">
        <f>IF(E21="","",IF('Aftale Input'!G21="",'Aftale Input'!H21,'Aftale Input'!G21*'Aftale Input'!I21))</f>
        <v/>
      </c>
      <c r="E21" s="135" t="str">
        <f>IF('Aftale Input'!E21="","",'Aftale Input'!E21)</f>
        <v/>
      </c>
      <c r="F21" s="135" t="str">
        <f>IF('Aftale Input'!F21="","",'Aftale Input'!F21)</f>
        <v/>
      </c>
      <c r="G21" s="71" t="str">
        <f>IF('Aftale Input'!I21=0,"",'Aftale Input'!I21)</f>
        <v/>
      </c>
      <c r="H21" s="142" t="str">
        <f>IF('Aftale Input'!J21=0,"",'Aftale Input'!J21)</f>
        <v/>
      </c>
    </row>
    <row r="22" spans="1:8" s="61" customFormat="1" x14ac:dyDescent="0.25">
      <c r="A22" s="180" t="str">
        <f>IF('Aftale Input'!A22="","",'Aftale Input'!A22)</f>
        <v>E.</v>
      </c>
      <c r="B22" s="152" t="str">
        <f>IF('Aftale Input'!C22="","",CONCATENATE("Rum ",'Aftale Input'!B22," - Bur areal ",'Aftale Input'!C22))</f>
        <v/>
      </c>
      <c r="C22" s="91"/>
      <c r="D22" s="170" t="str">
        <f>IF(E22="","",IF('Aftale Input'!G22="",'Aftale Input'!H22,'Aftale Input'!G22*'Aftale Input'!I22))</f>
        <v/>
      </c>
      <c r="E22" s="135" t="str">
        <f>IF('Aftale Input'!E22="","",'Aftale Input'!E22)</f>
        <v/>
      </c>
      <c r="F22" s="135" t="str">
        <f>IF('Aftale Input'!F22="","",'Aftale Input'!F22)</f>
        <v/>
      </c>
      <c r="G22" s="71" t="str">
        <f>IF('Aftale Input'!I22=0,"",'Aftale Input'!I22)</f>
        <v/>
      </c>
      <c r="H22" s="142" t="str">
        <f>IF('Aftale Input'!J22=0,"",'Aftale Input'!J22)</f>
        <v/>
      </c>
    </row>
    <row r="23" spans="1:8" s="61" customFormat="1" outlineLevel="1" x14ac:dyDescent="0.25">
      <c r="A23" s="180" t="str">
        <f>IF('Aftale Input'!A23="","",'Aftale Input'!A23)</f>
        <v>F.</v>
      </c>
      <c r="B23" s="152" t="str">
        <f>IF('Aftale Input'!C23="","",CONCATENATE("Rum ",'Aftale Input'!B23," - Bur areal ",'Aftale Input'!C23))</f>
        <v/>
      </c>
      <c r="C23" s="91"/>
      <c r="D23" s="170" t="str">
        <f>IF(E23="","",IF('Aftale Input'!G23="",'Aftale Input'!H23,'Aftale Input'!G23*'Aftale Input'!I23))</f>
        <v/>
      </c>
      <c r="E23" s="135" t="str">
        <f>IF('Aftale Input'!E23="","",'Aftale Input'!E23)</f>
        <v/>
      </c>
      <c r="F23" s="135" t="str">
        <f>IF('Aftale Input'!F23="","",'Aftale Input'!F23)</f>
        <v/>
      </c>
      <c r="G23" s="71" t="str">
        <f>IF('Aftale Input'!I23=0,"",'Aftale Input'!I23)</f>
        <v/>
      </c>
      <c r="H23" s="142" t="str">
        <f>IF('Aftale Input'!J23=0,"",'Aftale Input'!J23)</f>
        <v/>
      </c>
    </row>
    <row r="24" spans="1:8" s="61" customFormat="1" outlineLevel="1" x14ac:dyDescent="0.25">
      <c r="A24" s="180" t="str">
        <f>IF('Aftale Input'!A24="","",'Aftale Input'!A24)</f>
        <v>G.</v>
      </c>
      <c r="B24" s="152" t="str">
        <f>IF('Aftale Input'!C24="","",CONCATENATE("Rum ",'Aftale Input'!B24," - Bur areal ",'Aftale Input'!C24))</f>
        <v/>
      </c>
      <c r="C24" s="91"/>
      <c r="D24" s="170" t="str">
        <f>IF(E24="","",IF('Aftale Input'!G24="",'Aftale Input'!H24,'Aftale Input'!G24*'Aftale Input'!I24))</f>
        <v/>
      </c>
      <c r="E24" s="135" t="str">
        <f>IF('Aftale Input'!E24="","",'Aftale Input'!E24)</f>
        <v/>
      </c>
      <c r="F24" s="135" t="str">
        <f>IF('Aftale Input'!F24="","",'Aftale Input'!F24)</f>
        <v/>
      </c>
      <c r="G24" s="71" t="str">
        <f>IF('Aftale Input'!I24=0,"",'Aftale Input'!I24)</f>
        <v/>
      </c>
      <c r="H24" s="142" t="str">
        <f>IF('Aftale Input'!J24=0,"",'Aftale Input'!J24)</f>
        <v/>
      </c>
    </row>
    <row r="25" spans="1:8" s="61" customFormat="1" outlineLevel="1" x14ac:dyDescent="0.25">
      <c r="A25" s="180" t="str">
        <f>IF('Aftale Input'!A25="","",'Aftale Input'!A25)</f>
        <v>H.</v>
      </c>
      <c r="B25" s="152" t="str">
        <f>IF('Aftale Input'!C25="","",CONCATENATE("Rum ",'Aftale Input'!B25," - Bur areal ",'Aftale Input'!C25))</f>
        <v/>
      </c>
      <c r="C25" s="91"/>
      <c r="D25" s="170" t="str">
        <f>IF(E25="","",IF('Aftale Input'!G25="",'Aftale Input'!H25,'Aftale Input'!G25*'Aftale Input'!I25))</f>
        <v/>
      </c>
      <c r="E25" s="135" t="str">
        <f>IF('Aftale Input'!E25="","",'Aftale Input'!E25)</f>
        <v/>
      </c>
      <c r="F25" s="135" t="str">
        <f>IF('Aftale Input'!F25="","",'Aftale Input'!F25)</f>
        <v/>
      </c>
      <c r="G25" s="71" t="str">
        <f>IF('Aftale Input'!I25=0,"",'Aftale Input'!I25)</f>
        <v/>
      </c>
      <c r="H25" s="142" t="str">
        <f>IF('Aftale Input'!J25=0,"",'Aftale Input'!J25)</f>
        <v/>
      </c>
    </row>
    <row r="26" spans="1:8" s="61" customFormat="1" outlineLevel="1" x14ac:dyDescent="0.25">
      <c r="A26" s="180" t="str">
        <f>IF('Aftale Input'!A26="","",'Aftale Input'!A26)</f>
        <v>I.</v>
      </c>
      <c r="B26" s="152" t="str">
        <f>IF('Aftale Input'!C26="","",CONCATENATE("Rum ",'Aftale Input'!B26," - Bur areal ",'Aftale Input'!C26))</f>
        <v/>
      </c>
      <c r="C26" s="91"/>
      <c r="D26" s="170" t="str">
        <f>IF(E26="","",IF('Aftale Input'!G26="",'Aftale Input'!H26,'Aftale Input'!G26*'Aftale Input'!I26))</f>
        <v/>
      </c>
      <c r="E26" s="135" t="str">
        <f>IF('Aftale Input'!E26="","",'Aftale Input'!E26)</f>
        <v/>
      </c>
      <c r="F26" s="135" t="str">
        <f>IF('Aftale Input'!F26="","",'Aftale Input'!F26)</f>
        <v/>
      </c>
      <c r="G26" s="71" t="str">
        <f>IF('Aftale Input'!I26=0,"",'Aftale Input'!I26)</f>
        <v/>
      </c>
      <c r="H26" s="142" t="str">
        <f>IF('Aftale Input'!J26=0,"",'Aftale Input'!J26)</f>
        <v/>
      </c>
    </row>
    <row r="27" spans="1:8" s="61" customFormat="1" outlineLevel="1" x14ac:dyDescent="0.25">
      <c r="A27" s="180" t="str">
        <f>IF('Aftale Input'!A27="","",'Aftale Input'!A27)</f>
        <v>J.</v>
      </c>
      <c r="B27" s="152" t="str">
        <f>IF('Aftale Input'!C27="","",CONCATENATE("Rum ",'Aftale Input'!B27," - Bur areal ",'Aftale Input'!C27))</f>
        <v/>
      </c>
      <c r="C27" s="91"/>
      <c r="D27" s="170" t="str">
        <f>IF(E27="","",IF('Aftale Input'!G27="",'Aftale Input'!H27,'Aftale Input'!G27*'Aftale Input'!I27))</f>
        <v/>
      </c>
      <c r="E27" s="135" t="str">
        <f>IF('Aftale Input'!E27="","",'Aftale Input'!E27)</f>
        <v/>
      </c>
      <c r="F27" s="135" t="str">
        <f>IF('Aftale Input'!F27="","",'Aftale Input'!F27)</f>
        <v/>
      </c>
      <c r="G27" s="71" t="str">
        <f>IF('Aftale Input'!I27=0,"",'Aftale Input'!I27)</f>
        <v/>
      </c>
      <c r="H27" s="142" t="str">
        <f>IF('Aftale Input'!J27=0,"",'Aftale Input'!J27)</f>
        <v/>
      </c>
    </row>
    <row r="28" spans="1:8" s="61" customFormat="1" outlineLevel="1" x14ac:dyDescent="0.25">
      <c r="A28" s="180" t="str">
        <f>IF('Aftale Input'!A28="","",'Aftale Input'!A28)</f>
        <v>K.</v>
      </c>
      <c r="B28" s="152" t="str">
        <f>IF('Aftale Input'!C28="","",CONCATENATE("Rum ",'Aftale Input'!B28," - Bur areal ",'Aftale Input'!C28))</f>
        <v/>
      </c>
      <c r="C28" s="91"/>
      <c r="D28" s="170" t="str">
        <f>IF(E28="","",IF('Aftale Input'!G28="",'Aftale Input'!H28,'Aftale Input'!G28*'Aftale Input'!I28))</f>
        <v/>
      </c>
      <c r="E28" s="135" t="str">
        <f>IF('Aftale Input'!E28="","",'Aftale Input'!E28)</f>
        <v/>
      </c>
      <c r="F28" s="135" t="str">
        <f>IF('Aftale Input'!F28="","",'Aftale Input'!F28)</f>
        <v/>
      </c>
      <c r="G28" s="71" t="str">
        <f>IF('Aftale Input'!I28=0,"",'Aftale Input'!I28)</f>
        <v/>
      </c>
      <c r="H28" s="142" t="str">
        <f>IF('Aftale Input'!J28=0,"",'Aftale Input'!J28)</f>
        <v/>
      </c>
    </row>
    <row r="29" spans="1:8" s="61" customFormat="1" outlineLevel="1" x14ac:dyDescent="0.25">
      <c r="A29" s="180" t="str">
        <f>IF('Aftale Input'!A29="","",'Aftale Input'!A29)</f>
        <v>L.</v>
      </c>
      <c r="B29" s="152" t="str">
        <f>IF('Aftale Input'!C29="","",CONCATENATE("Rum ",'Aftale Input'!B29," - Bur areal ",'Aftale Input'!C29))</f>
        <v/>
      </c>
      <c r="C29" s="91"/>
      <c r="D29" s="170" t="str">
        <f>IF(E29="","",IF('Aftale Input'!G29="",'Aftale Input'!H29,'Aftale Input'!G29*'Aftale Input'!I29))</f>
        <v/>
      </c>
      <c r="E29" s="135" t="str">
        <f>IF('Aftale Input'!E29="","",'Aftale Input'!E29)</f>
        <v/>
      </c>
      <c r="F29" s="135" t="str">
        <f>IF('Aftale Input'!F29="","",'Aftale Input'!F29)</f>
        <v/>
      </c>
      <c r="G29" s="71" t="str">
        <f>IF('Aftale Input'!I29=0,"",'Aftale Input'!I29)</f>
        <v/>
      </c>
      <c r="H29" s="142" t="str">
        <f>IF('Aftale Input'!J29=0,"",'Aftale Input'!J29)</f>
        <v/>
      </c>
    </row>
    <row r="30" spans="1:8" ht="15.75" thickBot="1" x14ac:dyDescent="0.3">
      <c r="A30" s="86" t="s">
        <v>66</v>
      </c>
      <c r="B30" s="182"/>
      <c r="C30" s="101"/>
      <c r="D30" s="184">
        <f>SUM(D18:D29)</f>
        <v>0</v>
      </c>
      <c r="E30" s="18"/>
      <c r="F30" s="19"/>
      <c r="G30" s="20">
        <f>SUM(G18:G29)</f>
        <v>0</v>
      </c>
      <c r="H30" s="143">
        <f>SUM(H18:H29)</f>
        <v>0</v>
      </c>
    </row>
    <row r="31" spans="1:8" s="61" customFormat="1" ht="16.5" thickTop="1" thickBot="1" x14ac:dyDescent="0.3">
      <c r="A31" s="82"/>
      <c r="B31" s="13"/>
      <c r="C31" s="13"/>
      <c r="D31" s="15"/>
      <c r="E31" s="14"/>
      <c r="F31" s="15"/>
      <c r="G31" s="16"/>
      <c r="H31" s="189"/>
    </row>
    <row r="32" spans="1:8" s="61" customFormat="1" ht="30" customHeight="1" x14ac:dyDescent="0.25">
      <c r="A32" s="194" t="s">
        <v>71</v>
      </c>
      <c r="B32" s="300"/>
      <c r="C32" s="193"/>
      <c r="D32" s="104" t="s">
        <v>146</v>
      </c>
      <c r="E32" s="137" t="str">
        <f>+'Aftale Input'!E32</f>
        <v>Start uge</v>
      </c>
      <c r="F32" s="137" t="str">
        <f>+'Aftale Input'!F32</f>
        <v>Slut uge</v>
      </c>
      <c r="G32" s="137" t="str">
        <f>+'Aftale Input'!I32</f>
        <v>Hele uger</v>
      </c>
      <c r="H32" s="195" t="s">
        <v>30</v>
      </c>
    </row>
    <row r="33" spans="1:10" s="61" customFormat="1" outlineLevel="1" x14ac:dyDescent="0.25">
      <c r="A33" s="196" t="str">
        <f>IF('Aftale Input'!A33="","",'Aftale Input'!A33)</f>
        <v>Isolatorer pr. bur/pr. uge</v>
      </c>
      <c r="B33" s="152"/>
      <c r="C33" s="91"/>
      <c r="D33" s="170" t="str">
        <f>IF(E33="","",IF('Aftale Input'!G33="",'Aftale Input'!H33,'Aftale Input'!G33*'Aftale Input'!I33))</f>
        <v/>
      </c>
      <c r="E33" s="135" t="str">
        <f>IF('Aftale Input'!E33="","",'Aftale Input'!E33)</f>
        <v/>
      </c>
      <c r="F33" s="135" t="str">
        <f>IF('Aftale Input'!F33="","",'Aftale Input'!F33)</f>
        <v/>
      </c>
      <c r="G33" s="71" t="str">
        <f>IF('Aftale Input'!I33=0,"",'Aftale Input'!I33)</f>
        <v/>
      </c>
      <c r="H33" s="142" t="str">
        <f>IF('Aftale Input'!J33=0,"",'Aftale Input'!J33)</f>
        <v/>
      </c>
    </row>
    <row r="34" spans="1:10" s="61" customFormat="1" outlineLevel="1" x14ac:dyDescent="0.25">
      <c r="A34" s="196" t="str">
        <f>IF('Aftale Input'!A34="","",'Aftale Input'!A34)</f>
        <v>Metabolismebur pr. bur/pr. dag</v>
      </c>
      <c r="B34" s="152"/>
      <c r="C34" s="91"/>
      <c r="D34" s="170" t="str">
        <f>IF(E34="","",IF('Aftale Input'!G34="",'Aftale Input'!H34,'Aftale Input'!G34*'Aftale Input'!I34))</f>
        <v/>
      </c>
      <c r="E34" s="135" t="str">
        <f>IF('Aftale Input'!E34="","",'Aftale Input'!E34)</f>
        <v/>
      </c>
      <c r="F34" s="135" t="str">
        <f>IF('Aftale Input'!F34="","",'Aftale Input'!F34)</f>
        <v/>
      </c>
      <c r="G34" s="71" t="str">
        <f>IF('Aftale Input'!I34=0,"",'Aftale Input'!I34)</f>
        <v/>
      </c>
      <c r="H34" s="142" t="str">
        <f>IF('Aftale Input'!J34=0,"",'Aftale Input'!J34)</f>
        <v/>
      </c>
    </row>
    <row r="35" spans="1:10" s="61" customFormat="1" ht="30" customHeight="1" outlineLevel="1" x14ac:dyDescent="0.25">
      <c r="A35" s="190" t="s">
        <v>226</v>
      </c>
      <c r="B35" s="301"/>
      <c r="C35" s="302"/>
      <c r="D35" s="303"/>
      <c r="E35" s="136" t="str">
        <f>+'Aftale Input'!E35</f>
        <v>Start dag</v>
      </c>
      <c r="F35" s="191" t="str">
        <f>+'Aftale Input'!F35</f>
        <v>Slut dag</v>
      </c>
      <c r="G35" s="191" t="str">
        <f>+'Aftale Input'!I35</f>
        <v>Hele dage</v>
      </c>
      <c r="H35" s="192" t="s">
        <v>30</v>
      </c>
    </row>
    <row r="36" spans="1:10" s="61" customFormat="1" outlineLevel="1" x14ac:dyDescent="0.25">
      <c r="A36" s="196" t="str">
        <f>IF('Aftale Input'!A36="","",'Aftale Input'!A36)</f>
        <v>Adfærdsrum pr. dag:</v>
      </c>
      <c r="B36" s="152"/>
      <c r="C36" s="152"/>
      <c r="D36" s="304" t="str">
        <f>IF('Aftale Input'!H36="","",'Aftale Input'!H36)</f>
        <v/>
      </c>
      <c r="E36" s="70" t="str">
        <f>IF('Aftale Input'!E36="","",'Aftale Input'!E36)</f>
        <v/>
      </c>
      <c r="F36" s="70" t="str">
        <f>IF('Aftale Input'!F36="","",'Aftale Input'!F36)</f>
        <v/>
      </c>
      <c r="G36" s="71" t="str">
        <f>IF('Aftale Input'!I36=0,"",'Aftale Input'!I36)</f>
        <v/>
      </c>
      <c r="H36" s="142" t="str">
        <f>IF('Aftale Input'!J36=0,"",'Aftale Input'!J36)</f>
        <v/>
      </c>
    </row>
    <row r="37" spans="1:10" s="61" customFormat="1" outlineLevel="1" x14ac:dyDescent="0.25">
      <c r="A37" s="196" t="str">
        <f>IF('Aftale Input'!A37="","",'Aftale Input'!A37)</f>
        <v>Sektionsstue pr. dag:</v>
      </c>
      <c r="B37" s="152"/>
      <c r="C37" s="152"/>
      <c r="D37" s="304" t="str">
        <f>IF('Aftale Input'!H37="","",'Aftale Input'!H37)</f>
        <v/>
      </c>
      <c r="E37" s="70" t="str">
        <f>IF('Aftale Input'!E37="","",'Aftale Input'!E37)</f>
        <v/>
      </c>
      <c r="F37" s="70" t="str">
        <f>IF('Aftale Input'!F37="","",'Aftale Input'!F37)</f>
        <v/>
      </c>
      <c r="G37" s="71" t="str">
        <f>IF('Aftale Input'!I37=0,"",'Aftale Input'!I37)</f>
        <v/>
      </c>
      <c r="H37" s="142" t="str">
        <f>IF('Aftale Input'!J37=0,"",'Aftale Input'!J37)</f>
        <v/>
      </c>
    </row>
    <row r="38" spans="1:10" s="61" customFormat="1" ht="15.75" thickBot="1" x14ac:dyDescent="0.3">
      <c r="A38" s="86" t="s">
        <v>72</v>
      </c>
      <c r="B38" s="182"/>
      <c r="C38" s="182"/>
      <c r="D38" s="305"/>
      <c r="E38" s="18"/>
      <c r="F38" s="19"/>
      <c r="G38" s="20"/>
      <c r="H38" s="143">
        <f>SUM(H33:H37)</f>
        <v>0</v>
      </c>
    </row>
    <row r="39" spans="1:10" s="61" customFormat="1" ht="15.75" thickTop="1" x14ac:dyDescent="0.25">
      <c r="A39" s="82"/>
      <c r="B39" s="13"/>
      <c r="C39" s="13"/>
      <c r="D39" s="13"/>
      <c r="E39" s="14"/>
      <c r="F39" s="15"/>
      <c r="G39" s="16"/>
      <c r="H39" s="103"/>
    </row>
    <row r="40" spans="1:10" ht="30" customHeight="1" x14ac:dyDescent="0.25">
      <c r="A40" s="88" t="s">
        <v>29</v>
      </c>
      <c r="B40" s="89"/>
      <c r="C40" s="89"/>
      <c r="D40" s="89"/>
      <c r="E40" s="136" t="s">
        <v>129</v>
      </c>
      <c r="F40" s="137" t="s">
        <v>86</v>
      </c>
      <c r="G40" s="136" t="s">
        <v>2</v>
      </c>
      <c r="H40" s="93" t="s">
        <v>8</v>
      </c>
    </row>
    <row r="41" spans="1:10" outlineLevel="1" x14ac:dyDescent="0.25">
      <c r="A41" s="144" t="str">
        <f>IF('Aftale Input'!A41="","",'Aftale Input'!A41)</f>
        <v xml:space="preserve">Faste ydelser pr. forsøg </v>
      </c>
      <c r="B41" s="177"/>
      <c r="C41" s="152"/>
      <c r="D41" s="152"/>
      <c r="E41" s="70" t="str">
        <f>IF('Aftale Input'!F41="","",'Aftale Input'!F41)</f>
        <v/>
      </c>
      <c r="F41" s="70" t="str">
        <f>IF('Aftale Input'!H41="","",'Aftale Input'!H41)</f>
        <v/>
      </c>
      <c r="G41" s="70" t="str">
        <f>IF('Aftale Input'!I41="","",'Aftale Input'!I41)</f>
        <v/>
      </c>
      <c r="H41" s="197" t="str">
        <f>IF('Aftale Input'!J41="","",'Aftale Input'!J41)</f>
        <v/>
      </c>
      <c r="J41" s="61"/>
    </row>
    <row r="42" spans="1:10" s="61" customFormat="1" outlineLevel="1" x14ac:dyDescent="0.25">
      <c r="A42" s="171" t="str">
        <f>IF('Aftale Input'!A42="","",'Aftale Input'!A42)</f>
        <v>Opstartsmøde</v>
      </c>
      <c r="B42" s="178"/>
      <c r="C42" s="152"/>
      <c r="D42" s="152"/>
      <c r="E42" s="70" t="str">
        <f>IF('Aftale Input'!F42="","",'Aftale Input'!F42)</f>
        <v/>
      </c>
      <c r="F42" s="60" t="str">
        <f>IF('Aftale Input'!H42="","",'Aftale Input'!H42)</f>
        <v/>
      </c>
      <c r="G42" s="60" t="str">
        <f>IF('Aftale Input'!I42=0,"",'Aftale Input'!I42)</f>
        <v/>
      </c>
      <c r="H42" s="4">
        <f>IF('Aftale Input'!J42="","",'Aftale Input'!J42)</f>
        <v>0</v>
      </c>
    </row>
    <row r="43" spans="1:10" s="61" customFormat="1" outlineLevel="1" x14ac:dyDescent="0.25">
      <c r="A43" s="171" t="str">
        <f>IF('Aftale Input'!A43="","",'Aftale Input'!A43)</f>
        <v>Gennemgang af forsøgsplaner</v>
      </c>
      <c r="B43" s="178"/>
      <c r="C43" s="152"/>
      <c r="D43" s="152"/>
      <c r="E43" s="70" t="str">
        <f>IF('Aftale Input'!F43="","",'Aftale Input'!F43)</f>
        <v/>
      </c>
      <c r="F43" s="60" t="str">
        <f>IF('Aftale Input'!H43="","",'Aftale Input'!H43)</f>
        <v/>
      </c>
      <c r="G43" s="60" t="str">
        <f>IF('Aftale Input'!I43=0,"",'Aftale Input'!I43)</f>
        <v/>
      </c>
      <c r="H43" s="4">
        <f>IF('Aftale Input'!J43="","",'Aftale Input'!J43)</f>
        <v>0</v>
      </c>
    </row>
    <row r="44" spans="1:10" s="61" customFormat="1" outlineLevel="1" x14ac:dyDescent="0.25">
      <c r="A44" s="171" t="str">
        <f>IF('Aftale Input'!A44="","",'Aftale Input'!A44)</f>
        <v>Udpakning af hjemkomne dyr, pr. kasse</v>
      </c>
      <c r="B44" s="178"/>
      <c r="C44" s="152"/>
      <c r="D44" s="152"/>
      <c r="E44" s="70" t="str">
        <f>IF('Aftale Input'!F44="","",'Aftale Input'!F44)</f>
        <v/>
      </c>
      <c r="F44" s="60" t="str">
        <f>IF('Aftale Input'!H44="","",'Aftale Input'!H44)</f>
        <v/>
      </c>
      <c r="G44" s="60" t="str">
        <f>IF('Aftale Input'!I44=0,"",'Aftale Input'!I44)</f>
        <v/>
      </c>
      <c r="H44" s="4">
        <f>IF('Aftale Input'!J44="","",'Aftale Input'!J44)</f>
        <v>0</v>
      </c>
    </row>
    <row r="45" spans="1:10" s="61" customFormat="1" outlineLevel="1" x14ac:dyDescent="0.25">
      <c r="A45" s="171" t="str">
        <f>IF('Aftale Input'!A45="","",'Aftale Input'!A45)</f>
        <v>Burkort og holdere på bur</v>
      </c>
      <c r="B45" s="178"/>
      <c r="C45" s="152"/>
      <c r="D45" s="152"/>
      <c r="E45" s="70" t="str">
        <f>IF('Aftale Input'!F45="","",'Aftale Input'!F45)</f>
        <v/>
      </c>
      <c r="F45" s="60" t="str">
        <f>IF('Aftale Input'!H45=0,"",'Aftale Input'!H45)</f>
        <v/>
      </c>
      <c r="G45" s="60" t="str">
        <f>IF('Aftale Input'!I45=0,"",'Aftale Input'!I45)</f>
        <v/>
      </c>
      <c r="H45" s="4">
        <f>IF('Aftale Input'!J45="","",'Aftale Input'!J45)</f>
        <v>0</v>
      </c>
    </row>
    <row r="46" spans="1:10" s="61" customFormat="1" outlineLevel="1" x14ac:dyDescent="0.25">
      <c r="A46" s="171" t="str">
        <f>IF('Aftale Input'!A46="","",'Aftale Input'!A46)</f>
        <v>Øremærkning</v>
      </c>
      <c r="B46" s="178"/>
      <c r="C46" s="152"/>
      <c r="D46" s="152"/>
      <c r="E46" s="70" t="str">
        <f>IF('Aftale Input'!F46="","",'Aftale Input'!F46)</f>
        <v/>
      </c>
      <c r="F46" s="60" t="str">
        <f>IF('Aftale Input'!H46="","",'Aftale Input'!H46)</f>
        <v/>
      </c>
      <c r="G46" s="60" t="str">
        <f>IF('Aftale Input'!I46=0,"",'Aftale Input'!I46)</f>
        <v/>
      </c>
      <c r="H46" s="4">
        <f>IF('Aftale Input'!J46="","",'Aftale Input'!J46)</f>
        <v>0</v>
      </c>
    </row>
    <row r="47" spans="1:10" s="61" customFormat="1" outlineLevel="1" x14ac:dyDescent="0.25">
      <c r="A47" s="171" t="str">
        <f>IF('Aftale Input'!A47="","",'Aftale Input'!A47)</f>
        <v>Afslutning, desinfektion m.v.</v>
      </c>
      <c r="B47" s="178"/>
      <c r="C47" s="152"/>
      <c r="D47" s="152"/>
      <c r="E47" s="70" t="str">
        <f>IF('Aftale Input'!F47="","",'Aftale Input'!F47)</f>
        <v/>
      </c>
      <c r="F47" s="60" t="str">
        <f>IF('Aftale Input'!H47="","",'Aftale Input'!H47)</f>
        <v/>
      </c>
      <c r="G47" s="60" t="str">
        <f>IF('Aftale Input'!I47=0,"",'Aftale Input'!I47)</f>
        <v/>
      </c>
      <c r="H47" s="4">
        <f>IF('Aftale Input'!J47="","",'Aftale Input'!J47)</f>
        <v>0</v>
      </c>
    </row>
    <row r="48" spans="1:10" s="61" customFormat="1" x14ac:dyDescent="0.25">
      <c r="A48" s="171" t="str">
        <f>IF('Aftale Input'!A48="","",'Aftale Input'!A48)</f>
        <v/>
      </c>
      <c r="B48" s="178"/>
      <c r="C48" s="152"/>
      <c r="D48" s="152"/>
      <c r="E48" s="70" t="str">
        <f>IF('Aftale Input'!F48="","",'Aftale Input'!F48)</f>
        <v/>
      </c>
      <c r="F48" s="60" t="str">
        <f>IF('Aftale Input'!H48="","",'Aftale Input'!H48)</f>
        <v/>
      </c>
      <c r="G48" s="60" t="str">
        <f>IF('Aftale Input'!I48=0,"",'Aftale Input'!I48)</f>
        <v/>
      </c>
      <c r="H48" s="4" t="str">
        <f>IF('Aftale Input'!J48="","",'Aftale Input'!J48)</f>
        <v/>
      </c>
    </row>
    <row r="49" spans="1:8" s="61" customFormat="1" outlineLevel="2" x14ac:dyDescent="0.25">
      <c r="A49" s="144" t="str">
        <f>IF('Aftale Input'!A49="","",'Aftale Input'!A49)</f>
        <v xml:space="preserve">Løbende ydelser </v>
      </c>
      <c r="B49" s="177"/>
      <c r="C49" s="152"/>
      <c r="D49" s="152"/>
      <c r="E49" s="70" t="str">
        <f>IF('Aftale Input'!F49="","",'Aftale Input'!F49)</f>
        <v>Vedrører opg.</v>
      </c>
      <c r="F49" s="60" t="str">
        <f>IF('Aftale Input'!H49="","",'Aftale Input'!H49)</f>
        <v>Antal uger</v>
      </c>
      <c r="G49" s="60" t="str">
        <f>IF('Aftale Input'!I49=0,"",'Aftale Input'!I49)</f>
        <v>Timer</v>
      </c>
      <c r="H49" s="188" t="str">
        <f>IF('Aftale Input'!J49="","",'Aftale Input'!J49)</f>
        <v>Pris</v>
      </c>
    </row>
    <row r="50" spans="1:8" s="61" customFormat="1" outlineLevel="2" x14ac:dyDescent="0.25">
      <c r="A50" s="171" t="str">
        <f>IF('Aftale Input'!A50="","",'Aftale Input'!A50)</f>
        <v>Ekstra rengøring af dyrerum og hjælperum</v>
      </c>
      <c r="B50" s="178"/>
      <c r="C50" s="152"/>
      <c r="D50" s="152"/>
      <c r="E50" s="70" t="str">
        <f>IF('Aftale Input'!F50="","",'Aftale Input'!F50)</f>
        <v/>
      </c>
      <c r="F50" s="60" t="str">
        <f>IF('Aftale Input'!H50="","",'Aftale Input'!H50)</f>
        <v/>
      </c>
      <c r="G50" s="60" t="str">
        <f>IF('Aftale Input'!I50=0,"",'Aftale Input'!I50)</f>
        <v/>
      </c>
      <c r="H50" s="4">
        <f>IF('Aftale Input'!J50="","",'Aftale Input'!J50)</f>
        <v>0</v>
      </c>
    </row>
    <row r="51" spans="1:8" s="61" customFormat="1" outlineLevel="2" x14ac:dyDescent="0.25">
      <c r="A51" s="171" t="str">
        <f>IF('Aftale Input'!A51="","",'Aftale Input'!A51)</f>
        <v>Ekstra tilsyn</v>
      </c>
      <c r="B51" s="178"/>
      <c r="C51" s="152"/>
      <c r="D51" s="152"/>
      <c r="E51" s="70" t="str">
        <f>IF('Aftale Input'!F51="","",'Aftale Input'!F51)</f>
        <v/>
      </c>
      <c r="F51" s="60" t="str">
        <f>IF('Aftale Input'!H51="","",'Aftale Input'!H51)</f>
        <v/>
      </c>
      <c r="G51" s="60" t="str">
        <f>IF('Aftale Input'!I51=0,"",'Aftale Input'!I51)</f>
        <v/>
      </c>
      <c r="H51" s="4">
        <f>IF('Aftale Input'!J51="","",'Aftale Input'!J51)</f>
        <v>0</v>
      </c>
    </row>
    <row r="52" spans="1:8" s="61" customFormat="1" outlineLevel="2" x14ac:dyDescent="0.25">
      <c r="A52" s="171" t="str">
        <f>IF('Aftale Input'!A52="","",'Aftale Input'!A52)</f>
        <v>Dyrlægetimer</v>
      </c>
      <c r="B52" s="178"/>
      <c r="C52" s="152"/>
      <c r="D52" s="152"/>
      <c r="E52" s="70" t="str">
        <f>IF('Aftale Input'!F52="","",'Aftale Input'!F52)</f>
        <v/>
      </c>
      <c r="F52" s="60" t="str">
        <f>IF('Aftale Input'!H52="","",'Aftale Input'!H52)</f>
        <v/>
      </c>
      <c r="G52" s="60" t="str">
        <f>IF('Aftale Input'!I52=0,"",'Aftale Input'!I52)</f>
        <v/>
      </c>
      <c r="H52" s="4">
        <f>IF('Aftale Input'!J52="","",'Aftale Input'!J52)</f>
        <v>0</v>
      </c>
    </row>
    <row r="53" spans="1:8" s="61" customFormat="1" outlineLevel="2" x14ac:dyDescent="0.25">
      <c r="A53" s="171" t="str">
        <f>IF('Aftale Input'!A53="","",'Aftale Input'!A53)</f>
        <v>Special foder fremstilling m.v.</v>
      </c>
      <c r="B53" s="178"/>
      <c r="C53" s="152"/>
      <c r="D53" s="152"/>
      <c r="E53" s="70" t="str">
        <f>IF('Aftale Input'!F53="","",'Aftale Input'!F53)</f>
        <v/>
      </c>
      <c r="F53" s="60" t="str">
        <f>IF('Aftale Input'!H53="","",'Aftale Input'!H53)</f>
        <v/>
      </c>
      <c r="G53" s="60" t="str">
        <f>IF('Aftale Input'!I53=0,"",'Aftale Input'!I53)</f>
        <v/>
      </c>
      <c r="H53" s="4">
        <f>IF('Aftale Input'!J53="","",'Aftale Input'!J53)</f>
        <v>0</v>
      </c>
    </row>
    <row r="54" spans="1:8" s="61" customFormat="1" outlineLevel="2" x14ac:dyDescent="0.25">
      <c r="A54" s="171" t="str">
        <f>IF('Aftale Input'!A54="","",'Aftale Input'!A54)</f>
        <v>Ekstra skift, pr. kasse (IVC bur)</v>
      </c>
      <c r="B54" s="178"/>
      <c r="C54" s="152"/>
      <c r="D54" s="152"/>
      <c r="E54" s="70" t="str">
        <f>IF('Aftale Input'!F54="","",'Aftale Input'!F54)</f>
        <v/>
      </c>
      <c r="F54" s="60" t="str">
        <f>IF('Aftale Input'!H54="","",'Aftale Input'!H54)</f>
        <v/>
      </c>
      <c r="G54" s="60" t="str">
        <f>IF('Aftale Input'!I54=0,"",'Aftale Input'!I54)</f>
        <v/>
      </c>
      <c r="H54" s="4">
        <f>IF('Aftale Input'!J54="","",'Aftale Input'!J54)</f>
        <v>0</v>
      </c>
    </row>
    <row r="55" spans="1:8" s="61" customFormat="1" outlineLevel="2" x14ac:dyDescent="0.25">
      <c r="A55" s="171" t="str">
        <f>IF('Aftale Input'!A55="","",'Aftale Input'!A55)</f>
        <v>Ekstra skift, pr. kasse (Type II/III/IV bur i Scantainer)</v>
      </c>
      <c r="B55" s="178"/>
      <c r="C55" s="152"/>
      <c r="D55" s="152"/>
      <c r="E55" s="70" t="str">
        <f>IF('Aftale Input'!F55="","",'Aftale Input'!F55)</f>
        <v/>
      </c>
      <c r="F55" s="60" t="str">
        <f>IF('Aftale Input'!H55="","",'Aftale Input'!H55)</f>
        <v/>
      </c>
      <c r="G55" s="60" t="str">
        <f>IF('Aftale Input'!I55=0,"",'Aftale Input'!I55)</f>
        <v/>
      </c>
      <c r="H55" s="4">
        <f>IF('Aftale Input'!J55="","",'Aftale Input'!J55)</f>
        <v>0</v>
      </c>
    </row>
    <row r="56" spans="1:8" s="61" customFormat="1" x14ac:dyDescent="0.25">
      <c r="A56" s="171" t="str">
        <f>IF('Aftale Input'!A56="","",'Aftale Input'!A56)</f>
        <v/>
      </c>
      <c r="B56" s="178"/>
      <c r="C56" s="152"/>
      <c r="D56" s="152"/>
      <c r="E56" s="70" t="str">
        <f>IF('Aftale Input'!F56="","",'Aftale Input'!F56)</f>
        <v/>
      </c>
      <c r="F56" s="60" t="str">
        <f>IF('Aftale Input'!H56="","",'Aftale Input'!H56)</f>
        <v/>
      </c>
      <c r="G56" s="60" t="str">
        <f>IF('Aftale Input'!I56=0,"",'Aftale Input'!I56)</f>
        <v/>
      </c>
      <c r="H56" s="4" t="str">
        <f>IF('Aftale Input'!J56="","",'Aftale Input'!J56)</f>
        <v/>
      </c>
    </row>
    <row r="57" spans="1:8" s="61" customFormat="1" outlineLevel="1" x14ac:dyDescent="0.25">
      <c r="A57" s="144" t="str">
        <f>IF('Aftale Input'!A57="","",'Aftale Input'!A57)</f>
        <v xml:space="preserve">Øvrige ydelser </v>
      </c>
      <c r="B57" s="177"/>
      <c r="C57" s="152"/>
      <c r="D57" s="152"/>
      <c r="E57" s="70" t="str">
        <f>IF('Aftale Input'!F57="","",'Aftale Input'!F57)</f>
        <v>Vedrører opg.</v>
      </c>
      <c r="F57" s="60" t="str">
        <f>IF('Aftale Input'!H57="","",'Aftale Input'!H57)</f>
        <v>Antal ydelser</v>
      </c>
      <c r="G57" s="60" t="str">
        <f>IF('Aftale Input'!I57=0,"",'Aftale Input'!I57)</f>
        <v>Timer</v>
      </c>
      <c r="H57" s="188" t="str">
        <f>IF('Aftale Input'!J57="","",'Aftale Input'!J57)</f>
        <v>Pris</v>
      </c>
    </row>
    <row r="58" spans="1:8" s="61" customFormat="1" outlineLevel="1" x14ac:dyDescent="0.25">
      <c r="A58" s="171" t="str">
        <f>IF('Aftale Input'!A58="","",'Aftale Input'!A58)</f>
        <v>Ekstra forsøgsdyrstilladelse</v>
      </c>
      <c r="B58" s="178"/>
      <c r="C58" s="152"/>
      <c r="D58" s="152"/>
      <c r="E58" s="70" t="str">
        <f>IF('Aftale Input'!F58="","",'Aftale Input'!F58)</f>
        <v/>
      </c>
      <c r="F58" s="60" t="str">
        <f>IF('Aftale Input'!H58="","",'Aftale Input'!H58)</f>
        <v/>
      </c>
      <c r="G58" s="60" t="str">
        <f>IF('Aftale Input'!I58=0,"",'Aftale Input'!I58)</f>
        <v/>
      </c>
      <c r="H58" s="4">
        <f>IF('Aftale Input'!J58="","",'Aftale Input'!J58)</f>
        <v>0</v>
      </c>
    </row>
    <row r="59" spans="1:8" s="61" customFormat="1" outlineLevel="1" x14ac:dyDescent="0.25">
      <c r="A59" s="171" t="str">
        <f>IF('Aftale Input'!A59="","",'Aftale Input'!A59)</f>
        <v>Blodprøver, samlet timeafregning</v>
      </c>
      <c r="B59" s="178"/>
      <c r="C59" s="152"/>
      <c r="D59" s="152"/>
      <c r="E59" s="70" t="str">
        <f>IF('Aftale Input'!F59="","",'Aftale Input'!F59)</f>
        <v/>
      </c>
      <c r="F59" s="60" t="str">
        <f>IF('Aftale Input'!H59="","",'Aftale Input'!H59)</f>
        <v/>
      </c>
      <c r="G59" s="60" t="str">
        <f>IF('Aftale Input'!I59=0,"",'Aftale Input'!I59)</f>
        <v/>
      </c>
      <c r="H59" s="4">
        <f>IF('Aftale Input'!J59="","",'Aftale Input'!J59)</f>
        <v>0</v>
      </c>
    </row>
    <row r="60" spans="1:8" s="61" customFormat="1" outlineLevel="1" x14ac:dyDescent="0.25">
      <c r="A60" s="171" t="str">
        <f>IF('Aftale Input'!A60="","",'Aftale Input'!A60)</f>
        <v>Blodprøve v. tunge og kind</v>
      </c>
      <c r="B60" s="178"/>
      <c r="C60" s="152"/>
      <c r="D60" s="152"/>
      <c r="E60" s="70" t="str">
        <f>IF('Aftale Input'!F60="","",'Aftale Input'!F60)</f>
        <v/>
      </c>
      <c r="F60" s="60" t="str">
        <f>IF('Aftale Input'!H60="","",'Aftale Input'!H60)</f>
        <v/>
      </c>
      <c r="G60" s="60" t="str">
        <f>IF('Aftale Input'!I60=0,"",'Aftale Input'!I60)</f>
        <v/>
      </c>
      <c r="H60" s="4">
        <f>IF('Aftale Input'!J60="","",'Aftale Input'!J60)</f>
        <v>0</v>
      </c>
    </row>
    <row r="61" spans="1:8" s="61" customFormat="1" outlineLevel="1" x14ac:dyDescent="0.25">
      <c r="A61" s="171" t="str">
        <f>IF('Aftale Input'!A61="","",'Aftale Input'!A61)</f>
        <v>Blodprøve ved hale, hjerte, portal vene</v>
      </c>
      <c r="B61" s="178"/>
      <c r="C61" s="152"/>
      <c r="D61" s="152"/>
      <c r="E61" s="70" t="str">
        <f>IF('Aftale Input'!F61="","",'Aftale Input'!F61)</f>
        <v/>
      </c>
      <c r="F61" s="60" t="str">
        <f>IF('Aftale Input'!H61="","",'Aftale Input'!H61)</f>
        <v/>
      </c>
      <c r="G61" s="60" t="str">
        <f>IF('Aftale Input'!I61=0,"",'Aftale Input'!I61)</f>
        <v/>
      </c>
      <c r="H61" s="4">
        <f>IF('Aftale Input'!J61="","",'Aftale Input'!J61)</f>
        <v>0</v>
      </c>
    </row>
    <row r="62" spans="1:8" outlineLevel="1" x14ac:dyDescent="0.25">
      <c r="A62" s="171" t="str">
        <f>IF('Aftale Input'!A62="","",'Aftale Input'!A62)</f>
        <v>Fravænning inkl. udarbejdelse af nye burkort</v>
      </c>
      <c r="B62" s="178"/>
      <c r="C62" s="152"/>
      <c r="D62" s="152"/>
      <c r="E62" s="70" t="str">
        <f>IF('Aftale Input'!F62="","",'Aftale Input'!F62)</f>
        <v/>
      </c>
      <c r="F62" s="60" t="str">
        <f>IF('Aftale Input'!H62="","",'Aftale Input'!H62)</f>
        <v/>
      </c>
      <c r="G62" s="60" t="str">
        <f>IF('Aftale Input'!I62=0,"",'Aftale Input'!I62)</f>
        <v/>
      </c>
      <c r="H62" s="4">
        <f>IF('Aftale Input'!J62="","",'Aftale Input'!J62)</f>
        <v>0</v>
      </c>
    </row>
    <row r="63" spans="1:8" outlineLevel="1" x14ac:dyDescent="0.25">
      <c r="A63" s="171" t="str">
        <f>IF('Aftale Input'!A63="","",'Aftale Input'!A63)</f>
        <v>Chip mærkning</v>
      </c>
      <c r="B63" s="178"/>
      <c r="C63" s="152"/>
      <c r="D63" s="152"/>
      <c r="E63" s="70" t="str">
        <f>IF('Aftale Input'!F63="","",'Aftale Input'!F63)</f>
        <v/>
      </c>
      <c r="F63" s="60" t="str">
        <f>IF('Aftale Input'!H63="","",'Aftale Input'!H63)</f>
        <v/>
      </c>
      <c r="G63" s="60" t="str">
        <f>IF('Aftale Input'!I63=0,"",'Aftale Input'!I63)</f>
        <v/>
      </c>
      <c r="H63" s="4">
        <f>IF('Aftale Input'!J63="","",'Aftale Input'!J63)</f>
        <v>0</v>
      </c>
    </row>
    <row r="64" spans="1:8" outlineLevel="1" x14ac:dyDescent="0.25">
      <c r="A64" s="171" t="str">
        <f>IF('Aftale Input'!A64="","",'Aftale Input'!A64)</f>
        <v>Skift af helt rack</v>
      </c>
      <c r="B64" s="178"/>
      <c r="C64" s="152"/>
      <c r="D64" s="152"/>
      <c r="E64" s="70" t="str">
        <f>IF('Aftale Input'!F64="","",'Aftale Input'!F64)</f>
        <v/>
      </c>
      <c r="F64" s="60" t="str">
        <f>IF('Aftale Input'!H64="","",'Aftale Input'!H64)</f>
        <v/>
      </c>
      <c r="G64" s="60" t="str">
        <f>IF('Aftale Input'!I64=0,"",'Aftale Input'!I64)</f>
        <v/>
      </c>
      <c r="H64" s="4">
        <f>IF('Aftale Input'!J64="","",'Aftale Input'!J64)</f>
        <v>0</v>
      </c>
    </row>
    <row r="65" spans="1:8" outlineLevel="1" x14ac:dyDescent="0.25">
      <c r="A65" s="171" t="str">
        <f>IF('Aftale Input'!A65="","",'Aftale Input'!A65)</f>
        <v>Vejning af dyr</v>
      </c>
      <c r="B65" s="178"/>
      <c r="C65" s="152"/>
      <c r="D65" s="152"/>
      <c r="E65" s="70" t="str">
        <f>IF('Aftale Input'!F65="","",'Aftale Input'!F65)</f>
        <v/>
      </c>
      <c r="F65" s="60" t="str">
        <f>IF('Aftale Input'!H65="","",'Aftale Input'!H65)</f>
        <v/>
      </c>
      <c r="G65" s="60" t="str">
        <f>IF('Aftale Input'!I65=0,"",'Aftale Input'!I65)</f>
        <v/>
      </c>
      <c r="H65" s="4">
        <f>IF('Aftale Input'!J65="","",'Aftale Input'!J65)</f>
        <v>0</v>
      </c>
    </row>
    <row r="66" spans="1:8" outlineLevel="1" x14ac:dyDescent="0.25">
      <c r="A66" s="171" t="str">
        <f>IF('Aftale Input'!A66="","",'Aftale Input'!A66)</f>
        <v>Vejning af foder/vand</v>
      </c>
      <c r="B66" s="178"/>
      <c r="C66" s="152"/>
      <c r="D66" s="152"/>
      <c r="E66" s="70" t="str">
        <f>IF('Aftale Input'!F66="","",'Aftale Input'!F66)</f>
        <v/>
      </c>
      <c r="F66" s="60" t="str">
        <f>IF('Aftale Input'!H66="","",'Aftale Input'!H66)</f>
        <v/>
      </c>
      <c r="G66" s="60" t="str">
        <f>IF('Aftale Input'!I66=0,"",'Aftale Input'!I66)</f>
        <v/>
      </c>
      <c r="H66" s="4">
        <f>IF('Aftale Input'!J66="","",'Aftale Input'!J66)</f>
        <v>0</v>
      </c>
    </row>
    <row r="67" spans="1:8" outlineLevel="1" x14ac:dyDescent="0.25">
      <c r="A67" s="171" t="str">
        <f>IF('Aftale Input'!A67="","",'Aftale Input'!A67)</f>
        <v xml:space="preserve">Dosering af dyr (sonde, ip o.s.v) </v>
      </c>
      <c r="B67" s="178"/>
      <c r="C67" s="152"/>
      <c r="D67" s="152"/>
      <c r="E67" s="70" t="str">
        <f>IF('Aftale Input'!F67="","",'Aftale Input'!F67)</f>
        <v/>
      </c>
      <c r="F67" s="60" t="str">
        <f>IF('Aftale Input'!H67="","",'Aftale Input'!H67)</f>
        <v/>
      </c>
      <c r="G67" s="60" t="str">
        <f>IF('Aftale Input'!I67=0,"",'Aftale Input'!I67)</f>
        <v/>
      </c>
      <c r="H67" s="4">
        <f>IF('Aftale Input'!J67="","",'Aftale Input'!J67)</f>
        <v>0</v>
      </c>
    </row>
    <row r="68" spans="1:8" outlineLevel="1" x14ac:dyDescent="0.25">
      <c r="A68" s="171" t="str">
        <f>IF('Aftale Input'!A68="","",'Aftale Input'!A68)</f>
        <v>Fæcesprøver</v>
      </c>
      <c r="B68" s="178"/>
      <c r="C68" s="152"/>
      <c r="D68" s="152"/>
      <c r="E68" s="70" t="str">
        <f>IF('Aftale Input'!F68="","",'Aftale Input'!F68)</f>
        <v/>
      </c>
      <c r="F68" s="60" t="str">
        <f>IF('Aftale Input'!H68="","",'Aftale Input'!H68)</f>
        <v/>
      </c>
      <c r="G68" s="60" t="str">
        <f>IF('Aftale Input'!I68=0,"",'Aftale Input'!I68)</f>
        <v/>
      </c>
      <c r="H68" s="4">
        <f>IF('Aftale Input'!J68="","",'Aftale Input'!J68)</f>
        <v>0</v>
      </c>
    </row>
    <row r="69" spans="1:8" s="61" customFormat="1" outlineLevel="1" x14ac:dyDescent="0.25">
      <c r="A69" s="171" t="str">
        <f>IF('Aftale Input'!A69="","",'Aftale Input'!A69)</f>
        <v>Urinopsamling inkl. burvask</v>
      </c>
      <c r="B69" s="178"/>
      <c r="C69" s="152"/>
      <c r="D69" s="152"/>
      <c r="E69" s="70" t="str">
        <f>IF('Aftale Input'!F69="","",'Aftale Input'!F69)</f>
        <v/>
      </c>
      <c r="F69" s="60" t="str">
        <f>IF('Aftale Input'!H69="","",'Aftale Input'!H69)</f>
        <v/>
      </c>
      <c r="G69" s="60" t="str">
        <f>IF('Aftale Input'!I69=0,"",'Aftale Input'!I69)</f>
        <v/>
      </c>
      <c r="H69" s="4">
        <f>IF('Aftale Input'!J69="","",'Aftale Input'!J69)</f>
        <v>0</v>
      </c>
    </row>
    <row r="70" spans="1:8" outlineLevel="1" x14ac:dyDescent="0.25">
      <c r="A70" s="171" t="str">
        <f>IF('Aftale Input'!A70="","",'Aftale Input'!A70)</f>
        <v>Hudtest</v>
      </c>
      <c r="B70" s="178"/>
      <c r="C70" s="152"/>
      <c r="D70" s="152"/>
      <c r="E70" s="70" t="str">
        <f>IF('Aftale Input'!F70="","",'Aftale Input'!F70)</f>
        <v/>
      </c>
      <c r="F70" s="60" t="str">
        <f>IF('Aftale Input'!H70="","",'Aftale Input'!H70)</f>
        <v/>
      </c>
      <c r="G70" s="60" t="str">
        <f>IF('Aftale Input'!I70=0,"",'Aftale Input'!I70)</f>
        <v/>
      </c>
      <c r="H70" s="4">
        <f>IF('Aftale Input'!J70="","",'Aftale Input'!J70)</f>
        <v>0</v>
      </c>
    </row>
    <row r="71" spans="1:8" outlineLevel="1" x14ac:dyDescent="0.25">
      <c r="A71" s="171" t="str">
        <f>IF('Aftale Input'!A71="","",'Aftale Input'!A71)</f>
        <v>Hudtest med måling</v>
      </c>
      <c r="B71" s="178"/>
      <c r="C71" s="152"/>
      <c r="D71" s="152"/>
      <c r="E71" s="70" t="str">
        <f>IF('Aftale Input'!F71="","",'Aftale Input'!F71)</f>
        <v/>
      </c>
      <c r="F71" s="60" t="str">
        <f>IF('Aftale Input'!H71="","",'Aftale Input'!H71)</f>
        <v/>
      </c>
      <c r="G71" s="60" t="str">
        <f>IF('Aftale Input'!I71=0,"",'Aftale Input'!I71)</f>
        <v/>
      </c>
      <c r="H71" s="4">
        <f>IF('Aftale Input'!J71="","",'Aftale Input'!J71)</f>
        <v>0</v>
      </c>
    </row>
    <row r="72" spans="1:8" s="61" customFormat="1" outlineLevel="1" x14ac:dyDescent="0.25">
      <c r="A72" s="171" t="str">
        <f>IF('Aftale Input'!A77="","",'Aftale Input'!A77)</f>
        <v>Temperatur måling/vap/øretest</v>
      </c>
      <c r="B72" s="178"/>
      <c r="C72" s="152"/>
      <c r="D72" s="152"/>
      <c r="E72" s="70" t="str">
        <f>IF('Aftale Input'!F77="","",'Aftale Input'!F77)</f>
        <v/>
      </c>
      <c r="F72" s="60" t="str">
        <f>IF('Aftale Input'!H77="","",'Aftale Input'!H77)</f>
        <v/>
      </c>
      <c r="G72" s="60" t="str">
        <f>IF('Aftale Input'!I77=0,"",'Aftale Input'!I77)</f>
        <v/>
      </c>
      <c r="H72" s="4">
        <f>IF('Aftale Input'!J77="","",'Aftale Input'!J77)</f>
        <v>0</v>
      </c>
    </row>
    <row r="73" spans="1:8" s="61" customFormat="1" outlineLevel="1" x14ac:dyDescent="0.25">
      <c r="A73" s="171" t="str">
        <f>IF('Aftale Input'!A72="","",'Aftale Input'!A72)</f>
        <v>Avl af mus eller rotter</v>
      </c>
      <c r="B73" s="178"/>
      <c r="C73" s="152"/>
      <c r="D73" s="152"/>
      <c r="E73" s="70" t="str">
        <f>IF('Aftale Input'!F72="","",'Aftale Input'!F72)</f>
        <v/>
      </c>
      <c r="F73" s="60" t="str">
        <f>IF('Aftale Input'!H72="","",'Aftale Input'!H72)</f>
        <v/>
      </c>
      <c r="G73" s="60" t="str">
        <f>IF('Aftale Input'!I72=0,"",'Aftale Input'!I72)</f>
        <v/>
      </c>
      <c r="H73" s="4">
        <f>IF('Aftale Input'!J72="","",'Aftale Input'!J72)</f>
        <v>0</v>
      </c>
    </row>
    <row r="74" spans="1:8" s="61" customFormat="1" outlineLevel="1" x14ac:dyDescent="0.25">
      <c r="A74" s="171" t="str">
        <f>IF('Aftale Input'!A73="","",'Aftale Input'!A73)</f>
        <v>Tjek af fødsler pr. bur</v>
      </c>
      <c r="B74" s="178"/>
      <c r="C74" s="152"/>
      <c r="D74" s="152"/>
      <c r="E74" s="70" t="str">
        <f>IF('Aftale Input'!F73="","",'Aftale Input'!F73)</f>
        <v/>
      </c>
      <c r="F74" s="60" t="str">
        <f>IF('Aftale Input'!H73="","",'Aftale Input'!H73)</f>
        <v/>
      </c>
      <c r="G74" s="60" t="str">
        <f>IF('Aftale Input'!I73=0,"",'Aftale Input'!I73)</f>
        <v/>
      </c>
      <c r="H74" s="4">
        <f>IF('Aftale Input'!J73="","",'Aftale Input'!J73)</f>
        <v>0</v>
      </c>
    </row>
    <row r="75" spans="1:8" s="61" customFormat="1" outlineLevel="1" x14ac:dyDescent="0.25">
      <c r="A75" s="171" t="str">
        <f>IF('Aftale Input'!A74="","",'Aftale Input'!A74)</f>
        <v>Tjek i fbm drægtighed (plug, palperation, fødsel) pr. dyr</v>
      </c>
      <c r="B75" s="178"/>
      <c r="C75" s="152"/>
      <c r="D75" s="152"/>
      <c r="E75" s="70" t="str">
        <f>IF('Aftale Input'!F74="","",'Aftale Input'!F74)</f>
        <v/>
      </c>
      <c r="F75" s="60" t="str">
        <f>IF('Aftale Input'!H74="","",'Aftale Input'!H74)</f>
        <v/>
      </c>
      <c r="G75" s="60" t="str">
        <f>IF('Aftale Input'!I74=0,"",'Aftale Input'!I74)</f>
        <v/>
      </c>
      <c r="H75" s="4">
        <f>IF('Aftale Input'!J74="","",'Aftale Input'!J74)</f>
        <v>0</v>
      </c>
    </row>
    <row r="76" spans="1:8" s="61" customFormat="1" outlineLevel="1" x14ac:dyDescent="0.25">
      <c r="A76" s="171" t="str">
        <f>IF('Aftale Input'!A75="","",'Aftale Input'!A75)</f>
        <v>Aflivning pr. dyr</v>
      </c>
      <c r="B76" s="178"/>
      <c r="C76" s="152"/>
      <c r="D76" s="152"/>
      <c r="E76" s="70" t="str">
        <f>IF('Aftale Input'!F75="","",'Aftale Input'!F75)</f>
        <v/>
      </c>
      <c r="F76" s="60" t="str">
        <f>IF('Aftale Input'!H75="","",'Aftale Input'!H75)</f>
        <v/>
      </c>
      <c r="G76" s="60" t="str">
        <f>IF('Aftale Input'!I75=0,"",'Aftale Input'!I75)</f>
        <v/>
      </c>
      <c r="H76" s="4">
        <f>IF('Aftale Input'!J75="","",'Aftale Input'!J75)</f>
        <v>0</v>
      </c>
    </row>
    <row r="77" spans="1:8" s="61" customFormat="1" outlineLevel="1" x14ac:dyDescent="0.25">
      <c r="A77" s="171" t="str">
        <f>IF('Aftale Input'!A76="","",'Aftale Input'!A76)</f>
        <v>Rengøring af ekstra Scantainer ifbm. avl/forsøg</v>
      </c>
      <c r="B77" s="178"/>
      <c r="C77" s="152"/>
      <c r="D77" s="152"/>
      <c r="E77" s="70" t="str">
        <f>IF('Aftale Input'!F76="","",'Aftale Input'!F76)</f>
        <v/>
      </c>
      <c r="F77" s="60" t="str">
        <f>IF('Aftale Input'!H76="","",'Aftale Input'!H76)</f>
        <v/>
      </c>
      <c r="G77" s="60" t="str">
        <f>IF('Aftale Input'!I76=0,"",'Aftale Input'!I76)</f>
        <v/>
      </c>
      <c r="H77" s="4">
        <f>IF('Aftale Input'!J76="","",'Aftale Input'!J76)</f>
        <v>0</v>
      </c>
    </row>
    <row r="78" spans="1:8" s="61" customFormat="1" outlineLevel="1" x14ac:dyDescent="0.25">
      <c r="A78" s="171" t="str">
        <f>IF('Aftale Input'!A78="","",'Aftale Input'!A78)</f>
        <v xml:space="preserve">Autoklavering </v>
      </c>
      <c r="B78" s="178"/>
      <c r="C78" s="152"/>
      <c r="D78" s="152"/>
      <c r="E78" s="70" t="str">
        <f>IF('Aftale Input'!F78="","",'Aftale Input'!F78)</f>
        <v/>
      </c>
      <c r="F78" s="60" t="str">
        <f>IF('Aftale Input'!H78="","",'Aftale Input'!H78)</f>
        <v/>
      </c>
      <c r="G78" s="60" t="str">
        <f>IF('Aftale Input'!I78=0,"",'Aftale Input'!I78)</f>
        <v/>
      </c>
      <c r="H78" s="4">
        <f>IF('Aftale Input'!J78="","",'Aftale Input'!J78)</f>
        <v>0</v>
      </c>
    </row>
    <row r="79" spans="1:8" s="61" customFormat="1" outlineLevel="1" x14ac:dyDescent="0.25">
      <c r="A79" s="171" t="str">
        <f>IF('Aftale Input'!A79="","",'Aftale Input'!A79)</f>
        <v>Arbejdstid til bestråling af materiale</v>
      </c>
      <c r="B79" s="178"/>
      <c r="C79" s="152"/>
      <c r="D79" s="152"/>
      <c r="E79" s="70" t="str">
        <f>IF('Aftale Input'!F79="","",'Aftale Input'!F79)</f>
        <v/>
      </c>
      <c r="F79" s="60" t="str">
        <f>IF('Aftale Input'!H79="","",'Aftale Input'!H79)</f>
        <v/>
      </c>
      <c r="G79" s="60" t="str">
        <f>IF('Aftale Input'!I79=0,"",'Aftale Input'!I79)</f>
        <v/>
      </c>
      <c r="H79" s="4">
        <f>IF('Aftale Input'!J79="","",'Aftale Input'!J79)</f>
        <v>0</v>
      </c>
    </row>
    <row r="80" spans="1:8" s="61" customFormat="1" outlineLevel="1" x14ac:dyDescent="0.25">
      <c r="A80" s="171" t="str">
        <f>IF('Aftale Input'!A80="","",'Aftale Input'!A80)</f>
        <v>Arbejdstid metabolisme bure</v>
      </c>
      <c r="B80" s="178"/>
      <c r="C80" s="152"/>
      <c r="D80" s="152"/>
      <c r="E80" s="70" t="str">
        <f>IF('Aftale Input'!F80="","",'Aftale Input'!F80)</f>
        <v/>
      </c>
      <c r="F80" s="60" t="str">
        <f>IF('Aftale Input'!H80="","",'Aftale Input'!H80)</f>
        <v/>
      </c>
      <c r="G80" s="60" t="str">
        <f>IF('Aftale Input'!I80=0,"",'Aftale Input'!I80)</f>
        <v/>
      </c>
      <c r="H80" s="4">
        <f>IF('Aftale Input'!J80="","",'Aftale Input'!J80)</f>
        <v>0</v>
      </c>
    </row>
    <row r="81" spans="1:8" s="61" customFormat="1" outlineLevel="1" x14ac:dyDescent="0.25">
      <c r="A81" s="171" t="str">
        <f>IF('Aftale Input'!A81="","",'Aftale Input'!A81)</f>
        <v>Arbejdstid kimfri dyr</v>
      </c>
      <c r="B81" s="178"/>
      <c r="C81" s="152"/>
      <c r="D81" s="152"/>
      <c r="E81" s="70" t="str">
        <f>IF('Aftale Input'!F81="","",'Aftale Input'!F81)</f>
        <v/>
      </c>
      <c r="F81" s="60" t="str">
        <f>IF('Aftale Input'!H81="","",'Aftale Input'!H81)</f>
        <v/>
      </c>
      <c r="G81" s="60" t="str">
        <f>IF('Aftale Input'!I81=0,"",'Aftale Input'!I81)</f>
        <v/>
      </c>
      <c r="H81" s="4">
        <f>IF('Aftale Input'!J81="","",'Aftale Input'!J81)</f>
        <v>0</v>
      </c>
    </row>
    <row r="82" spans="1:8" s="61" customFormat="1" outlineLevel="1" x14ac:dyDescent="0.25">
      <c r="A82" s="171" t="str">
        <f>IF('Aftale Input'!A82="","",'Aftale Input'!A82)</f>
        <v>Teknikertimer</v>
      </c>
      <c r="B82" s="178"/>
      <c r="C82" s="152"/>
      <c r="D82" s="152"/>
      <c r="E82" s="70" t="str">
        <f>IF('Aftale Input'!F82="","",'Aftale Input'!F82)</f>
        <v/>
      </c>
      <c r="F82" s="17" t="str">
        <f>IF('Aftale Input'!H82="","",'Aftale Input'!H82)</f>
        <v/>
      </c>
      <c r="G82" s="60" t="str">
        <f>IF('Aftale Input'!I82=0,"",'Aftale Input'!I82)</f>
        <v/>
      </c>
      <c r="H82" s="4">
        <f>IF('Aftale Input'!J82="","",'Aftale Input'!J82)</f>
        <v>0</v>
      </c>
    </row>
    <row r="83" spans="1:8" s="61" customFormat="1" x14ac:dyDescent="0.25">
      <c r="A83" s="171" t="str">
        <f>IF('Aftale Input'!A83="","",'Aftale Input'!A83)</f>
        <v/>
      </c>
      <c r="B83" s="178"/>
      <c r="C83" s="152"/>
      <c r="D83" s="152"/>
      <c r="E83" s="70" t="str">
        <f>IF('Aftale Input'!F83="","",'Aftale Input'!F83)</f>
        <v/>
      </c>
      <c r="F83" s="17" t="str">
        <f>IF('Aftale Input'!H83="","",'Aftale Input'!H83)</f>
        <v/>
      </c>
      <c r="G83" s="60" t="str">
        <f>IF('Aftale Input'!I83=0,"",'Aftale Input'!I83)</f>
        <v/>
      </c>
      <c r="H83" s="4">
        <f>IF('Aftale Input'!J83="","",'Aftale Input'!J83)</f>
        <v>0</v>
      </c>
    </row>
    <row r="84" spans="1:8" s="61" customFormat="1" ht="15.75" collapsed="1" thickBot="1" x14ac:dyDescent="0.3">
      <c r="A84" s="86" t="s">
        <v>31</v>
      </c>
      <c r="B84" s="182"/>
      <c r="C84" s="299"/>
      <c r="D84" s="183"/>
      <c r="E84" s="19"/>
      <c r="F84" s="20"/>
      <c r="G84" s="19"/>
      <c r="H84" s="143">
        <f>SUM(H41:H83)</f>
        <v>0</v>
      </c>
    </row>
    <row r="85" spans="1:8" s="61" customFormat="1" ht="15.75" thickTop="1" x14ac:dyDescent="0.25">
      <c r="A85" s="82"/>
      <c r="B85" s="13"/>
      <c r="C85" s="14"/>
      <c r="D85" s="14"/>
      <c r="E85" s="15"/>
      <c r="F85" s="16"/>
      <c r="G85" s="15"/>
      <c r="H85" s="103"/>
    </row>
    <row r="86" spans="1:8" s="61" customFormat="1" ht="30" customHeight="1" x14ac:dyDescent="0.25">
      <c r="A86" s="88" t="str">
        <f>+'Aftale Input'!A86</f>
        <v>Materialer</v>
      </c>
      <c r="B86" s="89"/>
      <c r="C86" s="89"/>
      <c r="D86" s="89"/>
      <c r="E86" s="137"/>
      <c r="F86" s="137" t="str">
        <f>+'Aftale Input'!H86</f>
        <v>Antal</v>
      </c>
      <c r="G86" s="137" t="str">
        <f>+'Aftale Input'!I86</f>
        <v>Stk. pris</v>
      </c>
      <c r="H86" s="93" t="str">
        <f>+'Aftale Input'!J86</f>
        <v>Pris</v>
      </c>
    </row>
    <row r="87" spans="1:8" s="61" customFormat="1" outlineLevel="1" x14ac:dyDescent="0.25">
      <c r="A87" s="94" t="str">
        <f>+'Aftale Input'!A87</f>
        <v>Burkort/Holdere (indgår fast pr. opstart)</v>
      </c>
      <c r="B87" s="152"/>
      <c r="C87" s="152"/>
      <c r="D87" s="152"/>
      <c r="E87" s="296"/>
      <c r="F87" s="60" t="str">
        <f>IF('Aftale Input'!H87="","",'Aftale Input'!H87)</f>
        <v/>
      </c>
      <c r="G87" s="60" t="str">
        <f>IF(F87="","",'Aftale Input'!I87)</f>
        <v/>
      </c>
      <c r="H87" s="254" t="str">
        <f>IF('Aftale Input'!J87="","",'Aftale Input'!J87)</f>
        <v/>
      </c>
    </row>
    <row r="88" spans="1:8" s="61" customFormat="1" outlineLevel="1" x14ac:dyDescent="0.25">
      <c r="A88" s="94" t="str">
        <f>+'Aftale Input'!A88</f>
        <v>Micro chips</v>
      </c>
      <c r="B88" s="152"/>
      <c r="C88" s="152"/>
      <c r="D88" s="152"/>
      <c r="E88" s="296"/>
      <c r="F88" s="60" t="str">
        <f>IF('Aftale Input'!H88="","",'Aftale Input'!H88)</f>
        <v/>
      </c>
      <c r="G88" s="60" t="str">
        <f>IF(F88="","",'Aftale Input'!I88)</f>
        <v/>
      </c>
      <c r="H88" s="254" t="str">
        <f>IF('Aftale Input'!J88="","",'Aftale Input'!J88)</f>
        <v/>
      </c>
    </row>
    <row r="89" spans="1:8" s="61" customFormat="1" outlineLevel="1" x14ac:dyDescent="0.25">
      <c r="A89" s="94" t="str">
        <f>+'Aftale Input'!A89</f>
        <v xml:space="preserve">Plastiksonder </v>
      </c>
      <c r="B89" s="152"/>
      <c r="C89" s="152"/>
      <c r="D89" s="152"/>
      <c r="E89" s="296"/>
      <c r="F89" s="60" t="str">
        <f>IF('Aftale Input'!H89="","",'Aftale Input'!H89)</f>
        <v/>
      </c>
      <c r="G89" s="60" t="str">
        <f>IF(F89="","",'Aftale Input'!I89)</f>
        <v/>
      </c>
      <c r="H89" s="254" t="str">
        <f>IF('Aftale Input'!J89="","",'Aftale Input'!J89)</f>
        <v/>
      </c>
    </row>
    <row r="90" spans="1:8" s="61" customFormat="1" outlineLevel="1" x14ac:dyDescent="0.25">
      <c r="A90" s="94" t="str">
        <f>+'Aftale Input'!A94</f>
        <v>Hypnorm/Midazolam (pr. ml)</v>
      </c>
      <c r="B90" s="152"/>
      <c r="C90" s="152"/>
      <c r="D90" s="152"/>
      <c r="E90" s="296"/>
      <c r="F90" s="60" t="str">
        <f>IF('Aftale Input'!H94="","",'Aftale Input'!H94)</f>
        <v/>
      </c>
      <c r="G90" s="60" t="str">
        <f>IF(F90="","",'Aftale Input'!I94)</f>
        <v/>
      </c>
      <c r="H90" s="254" t="str">
        <f>IF('Aftale Input'!J94="","",'Aftale Input'!J94)</f>
        <v/>
      </c>
    </row>
    <row r="91" spans="1:8" s="61" customFormat="1" ht="15.75" thickBot="1" x14ac:dyDescent="0.3">
      <c r="A91" s="86" t="s">
        <v>128</v>
      </c>
      <c r="B91" s="182"/>
      <c r="C91" s="182"/>
      <c r="D91" s="182"/>
      <c r="E91" s="183"/>
      <c r="F91" s="19"/>
      <c r="G91" s="20"/>
      <c r="H91" s="143">
        <f>SUM(H87:H90)</f>
        <v>0</v>
      </c>
    </row>
    <row r="92" spans="1:8" ht="15.75" outlineLevel="1" thickTop="1" x14ac:dyDescent="0.25">
      <c r="A92" s="95"/>
      <c r="B92" s="28"/>
      <c r="C92" s="28"/>
      <c r="D92" s="28"/>
      <c r="E92" s="28"/>
      <c r="F92" s="28"/>
      <c r="G92" s="28"/>
      <c r="H92" s="96"/>
    </row>
    <row r="93" spans="1:8" ht="30.75" customHeight="1" outlineLevel="1" x14ac:dyDescent="0.25">
      <c r="A93" s="88" t="s">
        <v>32</v>
      </c>
      <c r="B93" s="89"/>
      <c r="C93" s="89"/>
      <c r="D93" s="89"/>
      <c r="E93" s="90"/>
      <c r="F93" s="90"/>
      <c r="G93" s="90"/>
      <c r="H93" s="93" t="s">
        <v>8</v>
      </c>
    </row>
    <row r="94" spans="1:8" outlineLevel="1" x14ac:dyDescent="0.25">
      <c r="A94" s="94" t="str">
        <f>+'Aftale Input'!A98</f>
        <v>…</v>
      </c>
      <c r="B94" s="152"/>
      <c r="C94" s="152"/>
      <c r="D94" s="152"/>
      <c r="E94" s="297"/>
      <c r="F94" s="198"/>
      <c r="G94" s="198"/>
      <c r="H94" s="4">
        <f>+'Aftale Input'!J98</f>
        <v>0</v>
      </c>
    </row>
    <row r="95" spans="1:8" ht="15.75" outlineLevel="1" thickBot="1" x14ac:dyDescent="0.3">
      <c r="A95" s="97" t="str">
        <f>+'Aftale Input'!A99</f>
        <v>…</v>
      </c>
      <c r="B95" s="179"/>
      <c r="C95" s="179"/>
      <c r="D95" s="179"/>
      <c r="E95" s="298"/>
      <c r="F95" s="199"/>
      <c r="G95" s="199"/>
      <c r="H95" s="98">
        <f>+'Aftale Input'!J99</f>
        <v>0</v>
      </c>
    </row>
  </sheetData>
  <sheetProtection sheet="1" objects="1" scenarios="1"/>
  <mergeCells count="3">
    <mergeCell ref="C1:E1"/>
    <mergeCell ref="C2:E2"/>
    <mergeCell ref="C3:E3"/>
  </mergeCells>
  <pageMargins left="0.70866141732283472" right="0.70866141732283472" top="0.74803149606299213" bottom="0.74803149606299213" header="0.31496062992125984" footer="0.31496062992125984"/>
  <pageSetup paperSize="9" scale="47" orientation="portrait"/>
  <headerFooter>
    <oddFooter>&amp;L&amp;D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workbookViewId="0">
      <selection activeCell="D3" sqref="D3"/>
    </sheetView>
  </sheetViews>
  <sheetFormatPr defaultColWidth="9.140625" defaultRowHeight="15" x14ac:dyDescent="0.25"/>
  <cols>
    <col min="1" max="1" width="9.140625" style="61"/>
    <col min="2" max="2" width="23.140625" style="61" bestFit="1" customWidth="1"/>
    <col min="3" max="5" width="11.5703125" style="61" customWidth="1"/>
    <col min="6" max="7" width="9.140625" style="61"/>
    <col min="8" max="8" width="24.5703125" style="61" customWidth="1"/>
    <col min="9" max="11" width="9.140625" style="61"/>
    <col min="12" max="12" width="2.42578125" style="61" customWidth="1"/>
    <col min="13" max="13" width="7.140625" style="61" customWidth="1"/>
    <col min="14" max="14" width="9.140625" style="61"/>
    <col min="15" max="15" width="24.5703125" style="61" bestFit="1" customWidth="1"/>
    <col min="16" max="16" width="8.85546875" style="61" customWidth="1"/>
    <col min="17" max="17" width="7.42578125" style="61" customWidth="1"/>
    <col min="18" max="18" width="1.7109375" style="61" customWidth="1"/>
    <col min="19" max="16384" width="9.140625" style="61"/>
  </cols>
  <sheetData>
    <row r="1" spans="1:18" x14ac:dyDescent="0.25">
      <c r="A1" s="35" t="s">
        <v>227</v>
      </c>
      <c r="B1" s="33"/>
      <c r="C1" s="43" t="s">
        <v>12</v>
      </c>
      <c r="D1" s="43" t="s">
        <v>13</v>
      </c>
      <c r="E1" s="43" t="s">
        <v>14</v>
      </c>
      <c r="F1" s="33"/>
      <c r="G1" s="33"/>
      <c r="H1" s="292" t="s">
        <v>224</v>
      </c>
      <c r="I1" s="292"/>
      <c r="J1" s="292"/>
      <c r="K1" s="292"/>
      <c r="L1" s="292"/>
      <c r="M1" s="29"/>
      <c r="O1" s="291" t="s">
        <v>225</v>
      </c>
      <c r="P1" s="292"/>
      <c r="Q1" s="292"/>
      <c r="R1" s="293"/>
    </row>
    <row r="2" spans="1:18" x14ac:dyDescent="0.25">
      <c r="A2" s="40" t="s">
        <v>51</v>
      </c>
      <c r="B2" s="41"/>
      <c r="C2" s="42">
        <v>0.49885267172377734</v>
      </c>
      <c r="D2" s="42">
        <v>0.2</v>
      </c>
      <c r="E2" s="42">
        <v>0.2761448348486587</v>
      </c>
      <c r="F2" s="28"/>
      <c r="G2" s="28"/>
      <c r="H2" s="294"/>
      <c r="I2" s="294" t="s">
        <v>12</v>
      </c>
      <c r="J2" s="294" t="s">
        <v>13</v>
      </c>
      <c r="K2" s="294" t="s">
        <v>14</v>
      </c>
      <c r="L2" s="28"/>
      <c r="M2" s="30"/>
      <c r="O2" s="100"/>
      <c r="P2" s="28" t="s">
        <v>223</v>
      </c>
      <c r="Q2" s="28"/>
      <c r="R2" s="30"/>
    </row>
    <row r="3" spans="1:18" x14ac:dyDescent="0.25">
      <c r="A3" s="40" t="s">
        <v>152</v>
      </c>
      <c r="B3" s="41"/>
      <c r="C3" s="42">
        <f>ROUNDDOWN(D3*(1+1.8),0)</f>
        <v>786</v>
      </c>
      <c r="D3" s="42">
        <f>ROUNDDOWN(C15,0)</f>
        <v>281</v>
      </c>
      <c r="E3" s="42">
        <f>+D3</f>
        <v>281</v>
      </c>
      <c r="F3" s="28"/>
      <c r="G3" s="28"/>
      <c r="H3" s="294" t="s">
        <v>219</v>
      </c>
      <c r="I3" s="295">
        <f>ROUNDUP($C$2*I24,2)</f>
        <v>184.57999999999998</v>
      </c>
      <c r="J3" s="295">
        <f>P3</f>
        <v>65.27</v>
      </c>
      <c r="K3" s="294">
        <f>ROUNDDOWN($E$2*I24,2)</f>
        <v>102.17</v>
      </c>
      <c r="L3" s="28"/>
      <c r="M3" s="30"/>
      <c r="O3" s="100" t="s">
        <v>219</v>
      </c>
      <c r="P3" s="28">
        <v>65.27</v>
      </c>
      <c r="Q3" s="28"/>
      <c r="R3" s="30"/>
    </row>
    <row r="4" spans="1:18" x14ac:dyDescent="0.25">
      <c r="A4" s="40" t="s">
        <v>153</v>
      </c>
      <c r="B4" s="41"/>
      <c r="C4" s="42">
        <f>ROUNDDOWN(D4*(1+1.8),0)</f>
        <v>1383</v>
      </c>
      <c r="D4" s="42">
        <f>ROUNDDOWN(C36,0)</f>
        <v>494</v>
      </c>
      <c r="E4" s="42">
        <f>+D4</f>
        <v>494</v>
      </c>
      <c r="F4" s="28"/>
      <c r="G4" s="28"/>
      <c r="H4" s="294" t="s">
        <v>218</v>
      </c>
      <c r="I4" s="295">
        <f t="shared" ref="I4" si="0">ROUNDUP($C$2*I25,2)</f>
        <v>249.92999999999998</v>
      </c>
      <c r="J4" s="295">
        <f t="shared" ref="J4:J8" si="1">P4</f>
        <v>68.400000000000006</v>
      </c>
      <c r="K4" s="294">
        <f t="shared" ref="K4" si="2">ROUNDDOWN($E$2*I25,2)</f>
        <v>138.34</v>
      </c>
      <c r="L4" s="28"/>
      <c r="M4" s="30"/>
      <c r="O4" s="100" t="s">
        <v>218</v>
      </c>
      <c r="P4" s="28">
        <v>68.400000000000006</v>
      </c>
      <c r="Q4" s="28"/>
      <c r="R4" s="30"/>
    </row>
    <row r="5" spans="1:18" x14ac:dyDescent="0.25">
      <c r="A5" s="40" t="s">
        <v>52</v>
      </c>
      <c r="B5" s="41"/>
      <c r="C5" s="42">
        <v>268.64999999999998</v>
      </c>
      <c r="D5" s="42">
        <v>103.62</v>
      </c>
      <c r="E5" s="42">
        <f>D5</f>
        <v>103.62</v>
      </c>
      <c r="F5" s="28"/>
      <c r="G5" s="28"/>
      <c r="H5" s="294" t="s">
        <v>220</v>
      </c>
      <c r="I5" s="295">
        <f>ROUNDUP($C$2*I26,2)</f>
        <v>399.09</v>
      </c>
      <c r="J5" s="295">
        <f t="shared" si="1"/>
        <v>73.09</v>
      </c>
      <c r="K5" s="294">
        <f>ROUNDDOWN($E$2*I26,2)</f>
        <v>220.91</v>
      </c>
      <c r="L5" s="28"/>
      <c r="M5" s="30"/>
      <c r="O5" s="100" t="s">
        <v>220</v>
      </c>
      <c r="P5" s="28">
        <v>73.09</v>
      </c>
      <c r="Q5" s="28"/>
      <c r="R5" s="30"/>
    </row>
    <row r="6" spans="1:18" x14ac:dyDescent="0.25">
      <c r="A6" s="40" t="s">
        <v>53</v>
      </c>
      <c r="B6" s="41"/>
      <c r="C6" s="42">
        <v>50.95</v>
      </c>
      <c r="D6" s="42">
        <v>41.32</v>
      </c>
      <c r="E6" s="42">
        <f>D6</f>
        <v>41.32</v>
      </c>
      <c r="F6" s="28"/>
      <c r="G6" s="28"/>
      <c r="H6" s="294" t="s">
        <v>221</v>
      </c>
      <c r="I6" s="294">
        <f>ROUNDUP($C$2*I27,2)</f>
        <v>399.09</v>
      </c>
      <c r="J6" s="295">
        <f t="shared" si="1"/>
        <v>91.82</v>
      </c>
      <c r="K6" s="294">
        <f>ROUNDDOWN($E$2*I27,2)</f>
        <v>220.91</v>
      </c>
      <c r="L6" s="28"/>
      <c r="M6" s="30"/>
      <c r="O6" s="100" t="s">
        <v>221</v>
      </c>
      <c r="P6" s="28">
        <v>91.82</v>
      </c>
      <c r="Q6" s="28"/>
      <c r="R6" s="30"/>
    </row>
    <row r="7" spans="1:18" x14ac:dyDescent="0.25">
      <c r="A7" s="40" t="s">
        <v>54</v>
      </c>
      <c r="B7" s="41"/>
      <c r="C7" s="42">
        <v>771.73</v>
      </c>
      <c r="D7" s="42"/>
      <c r="E7" s="42"/>
      <c r="F7" s="28"/>
      <c r="G7" s="28"/>
      <c r="H7" s="294" t="s">
        <v>222</v>
      </c>
      <c r="I7" s="295">
        <f>ROUNDUP($C$2*I28,2)</f>
        <v>907.92</v>
      </c>
      <c r="J7" s="295">
        <f t="shared" si="1"/>
        <v>169.23</v>
      </c>
      <c r="K7" s="294">
        <f>ROUNDDOWN($E$2*I28,2)</f>
        <v>502.58</v>
      </c>
      <c r="L7" s="28"/>
      <c r="M7" s="30"/>
      <c r="O7" s="100" t="s">
        <v>222</v>
      </c>
      <c r="P7" s="28">
        <v>169.23</v>
      </c>
      <c r="Q7" s="28"/>
      <c r="R7" s="30"/>
    </row>
    <row r="8" spans="1:18" x14ac:dyDescent="0.25">
      <c r="A8" s="40" t="s">
        <v>55</v>
      </c>
      <c r="B8" s="41"/>
      <c r="C8" s="42">
        <v>1973.16</v>
      </c>
      <c r="D8" s="42"/>
      <c r="E8" s="42"/>
      <c r="F8" s="28"/>
      <c r="G8" s="28"/>
      <c r="H8" s="294" t="s">
        <v>237</v>
      </c>
      <c r="I8" s="295">
        <f>ROUNDUP($C$2*I29,2)</f>
        <v>17994.62</v>
      </c>
      <c r="J8" s="295">
        <f t="shared" si="1"/>
        <v>4924.8599999999997</v>
      </c>
      <c r="K8" s="294">
        <f>ROUNDDOWN($E$2*I29,2)</f>
        <v>9961.09</v>
      </c>
      <c r="L8" s="28"/>
      <c r="M8" s="30"/>
      <c r="O8" s="157" t="s">
        <v>237</v>
      </c>
      <c r="P8" s="32">
        <v>4924.8599999999997</v>
      </c>
      <c r="Q8" s="32"/>
      <c r="R8" s="34"/>
    </row>
    <row r="9" spans="1:18" x14ac:dyDescent="0.25">
      <c r="A9" s="39" t="s">
        <v>17</v>
      </c>
      <c r="C9" s="38"/>
      <c r="D9" s="38"/>
      <c r="E9" s="38"/>
      <c r="F9" s="28"/>
      <c r="G9" s="28"/>
      <c r="H9" s="28"/>
      <c r="I9" s="28"/>
      <c r="J9" s="28"/>
      <c r="K9" s="28"/>
      <c r="L9" s="28"/>
      <c r="M9" s="30"/>
    </row>
    <row r="10" spans="1:18" x14ac:dyDescent="0.25">
      <c r="A10" s="36" t="s">
        <v>15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30"/>
    </row>
    <row r="11" spans="1:18" x14ac:dyDescent="0.25">
      <c r="A11" s="37" t="s">
        <v>16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4"/>
    </row>
    <row r="14" spans="1:18" x14ac:dyDescent="0.25">
      <c r="H14" s="35" t="s">
        <v>154</v>
      </c>
      <c r="I14" s="33"/>
      <c r="J14" s="33"/>
      <c r="K14" s="33"/>
      <c r="L14" s="29"/>
    </row>
    <row r="15" spans="1:18" x14ac:dyDescent="0.25">
      <c r="A15" s="35" t="s">
        <v>20</v>
      </c>
      <c r="B15" s="33"/>
      <c r="C15" s="243">
        <v>281.83999999999997</v>
      </c>
      <c r="D15" s="33" t="s">
        <v>240</v>
      </c>
      <c r="E15" s="33"/>
      <c r="F15" s="29"/>
      <c r="H15" s="36"/>
      <c r="I15" s="28"/>
      <c r="J15" s="28"/>
      <c r="K15" s="28"/>
      <c r="L15" s="30"/>
    </row>
    <row r="16" spans="1:18" ht="15.75" thickBot="1" x14ac:dyDescent="0.3">
      <c r="A16" s="100"/>
      <c r="B16" s="28"/>
      <c r="C16" s="28"/>
      <c r="D16" s="28"/>
      <c r="E16" s="28"/>
      <c r="F16" s="30"/>
      <c r="H16" s="100" t="s">
        <v>51</v>
      </c>
      <c r="I16" s="38">
        <f>C2</f>
        <v>0.49885267172377734</v>
      </c>
      <c r="J16" s="155">
        <v>0.2</v>
      </c>
      <c r="K16" s="28" t="s">
        <v>100</v>
      </c>
      <c r="L16" s="30"/>
    </row>
    <row r="17" spans="1:14" x14ac:dyDescent="0.25">
      <c r="A17" s="244" t="s">
        <v>132</v>
      </c>
      <c r="B17" s="236" t="s">
        <v>133</v>
      </c>
      <c r="C17" s="237" t="s">
        <v>134</v>
      </c>
      <c r="D17" s="238" t="s">
        <v>135</v>
      </c>
      <c r="E17" s="238" t="s">
        <v>136</v>
      </c>
      <c r="F17" s="245" t="s">
        <v>137</v>
      </c>
      <c r="H17" s="156" t="s">
        <v>52</v>
      </c>
      <c r="I17" s="38">
        <f>C5</f>
        <v>268.64999999999998</v>
      </c>
      <c r="J17" s="38">
        <f>+I17*1.2</f>
        <v>322.37999999999994</v>
      </c>
      <c r="K17" s="28">
        <f>CEILING(J17,100)</f>
        <v>400</v>
      </c>
      <c r="L17" s="30"/>
    </row>
    <row r="18" spans="1:14" x14ac:dyDescent="0.25">
      <c r="A18" s="246"/>
      <c r="B18" s="239"/>
      <c r="C18" s="239"/>
      <c r="D18" s="240"/>
      <c r="E18" s="240"/>
      <c r="F18" s="247"/>
      <c r="H18" s="156" t="s">
        <v>53</v>
      </c>
      <c r="I18" s="38">
        <f>C6</f>
        <v>50.95</v>
      </c>
      <c r="J18" s="38">
        <f>+I18*1.2</f>
        <v>61.14</v>
      </c>
      <c r="K18" s="28">
        <f>CEILING(J18,1)</f>
        <v>62</v>
      </c>
      <c r="L18" s="30"/>
    </row>
    <row r="19" spans="1:14" x14ac:dyDescent="0.25">
      <c r="A19" s="246"/>
      <c r="B19" s="239"/>
      <c r="C19" s="239"/>
      <c r="D19" s="240"/>
      <c r="E19" s="240"/>
      <c r="F19" s="247"/>
      <c r="H19" s="100" t="s">
        <v>54</v>
      </c>
      <c r="I19" s="38">
        <f>C7</f>
        <v>771.73</v>
      </c>
      <c r="J19" s="28"/>
      <c r="K19" s="28"/>
      <c r="L19" s="30"/>
    </row>
    <row r="20" spans="1:14" x14ac:dyDescent="0.25">
      <c r="A20" s="246"/>
      <c r="B20" s="239"/>
      <c r="C20" s="239"/>
      <c r="D20" s="240"/>
      <c r="E20" s="240"/>
      <c r="F20" s="247"/>
      <c r="H20" s="157" t="s">
        <v>55</v>
      </c>
      <c r="I20" s="332">
        <f>C8</f>
        <v>1973.16</v>
      </c>
      <c r="J20" s="32"/>
      <c r="K20" s="32"/>
      <c r="L20" s="34"/>
    </row>
    <row r="21" spans="1:14" x14ac:dyDescent="0.25">
      <c r="A21" s="246"/>
      <c r="B21" s="239"/>
      <c r="C21" s="239"/>
      <c r="D21" s="240"/>
      <c r="E21" s="240"/>
      <c r="F21" s="247"/>
      <c r="H21" s="260" t="s">
        <v>156</v>
      </c>
    </row>
    <row r="22" spans="1:14" x14ac:dyDescent="0.25">
      <c r="A22" s="246"/>
      <c r="B22" s="239"/>
      <c r="C22" s="239"/>
      <c r="D22" s="240"/>
      <c r="E22" s="240"/>
      <c r="F22" s="247"/>
    </row>
    <row r="23" spans="1:14" x14ac:dyDescent="0.25">
      <c r="A23" s="246"/>
      <c r="B23" s="239"/>
      <c r="C23" s="239"/>
      <c r="D23" s="240"/>
      <c r="E23" s="240"/>
      <c r="F23" s="247"/>
      <c r="H23" s="167" t="s">
        <v>121</v>
      </c>
      <c r="I23" s="29" t="s">
        <v>122</v>
      </c>
    </row>
    <row r="24" spans="1:14" x14ac:dyDescent="0.25">
      <c r="A24" s="246"/>
      <c r="B24" s="239"/>
      <c r="C24" s="239"/>
      <c r="D24" s="240"/>
      <c r="E24" s="240"/>
      <c r="F24" s="247"/>
      <c r="H24" s="100" t="s">
        <v>41</v>
      </c>
      <c r="I24" s="168">
        <v>370</v>
      </c>
      <c r="N24" s="331"/>
    </row>
    <row r="25" spans="1:14" x14ac:dyDescent="0.25">
      <c r="A25" s="246"/>
      <c r="B25" s="239"/>
      <c r="C25" s="239"/>
      <c r="D25" s="240"/>
      <c r="E25" s="240"/>
      <c r="F25" s="247"/>
      <c r="H25" s="100" t="s">
        <v>39</v>
      </c>
      <c r="I25" s="168">
        <v>501</v>
      </c>
    </row>
    <row r="26" spans="1:14" x14ac:dyDescent="0.25">
      <c r="A26" s="248"/>
      <c r="B26" s="241"/>
      <c r="C26" s="241"/>
      <c r="D26" s="241"/>
      <c r="E26" s="241"/>
      <c r="F26" s="249"/>
      <c r="H26" s="100" t="s">
        <v>239</v>
      </c>
      <c r="I26" s="168">
        <v>800</v>
      </c>
    </row>
    <row r="27" spans="1:14" x14ac:dyDescent="0.25">
      <c r="A27" s="248"/>
      <c r="B27" s="241"/>
      <c r="C27" s="241"/>
      <c r="D27" s="241"/>
      <c r="E27" s="241"/>
      <c r="F27" s="249"/>
      <c r="H27" s="329" t="s">
        <v>238</v>
      </c>
      <c r="I27" s="330">
        <v>800</v>
      </c>
    </row>
    <row r="28" spans="1:14" x14ac:dyDescent="0.25">
      <c r="A28" s="248"/>
      <c r="B28" s="241"/>
      <c r="C28" s="241"/>
      <c r="D28" s="241"/>
      <c r="E28" s="241"/>
      <c r="F28" s="249"/>
      <c r="H28" s="100" t="s">
        <v>43</v>
      </c>
      <c r="I28" s="168">
        <v>1820</v>
      </c>
    </row>
    <row r="29" spans="1:14" x14ac:dyDescent="0.25">
      <c r="A29" s="248"/>
      <c r="B29" s="241"/>
      <c r="C29" s="241"/>
      <c r="D29" s="241"/>
      <c r="E29" s="241"/>
      <c r="F29" s="249"/>
      <c r="H29" s="157" t="s">
        <v>40</v>
      </c>
      <c r="I29" s="169">
        <v>36072</v>
      </c>
    </row>
    <row r="30" spans="1:14" x14ac:dyDescent="0.25">
      <c r="A30" s="248"/>
      <c r="B30" s="241"/>
      <c r="C30" s="241"/>
      <c r="D30" s="241"/>
      <c r="E30" s="241"/>
      <c r="F30" s="249"/>
    </row>
    <row r="31" spans="1:14" x14ac:dyDescent="0.25">
      <c r="A31" s="248"/>
      <c r="B31" s="241"/>
      <c r="C31" s="241"/>
      <c r="D31" s="241"/>
      <c r="E31" s="241"/>
      <c r="F31" s="249"/>
    </row>
    <row r="32" spans="1:14" x14ac:dyDescent="0.25">
      <c r="A32" s="250"/>
      <c r="B32" s="251"/>
      <c r="C32" s="251"/>
      <c r="D32" s="251"/>
      <c r="E32" s="251"/>
      <c r="F32" s="252"/>
    </row>
    <row r="33" spans="1:6" x14ac:dyDescent="0.25">
      <c r="A33" s="260" t="s">
        <v>155</v>
      </c>
    </row>
    <row r="34" spans="1:6" ht="21.75" customHeight="1" x14ac:dyDescent="0.25"/>
    <row r="35" spans="1:6" x14ac:dyDescent="0.25">
      <c r="A35" s="241" t="s">
        <v>149</v>
      </c>
    </row>
    <row r="36" spans="1:6" x14ac:dyDescent="0.25">
      <c r="A36" s="35" t="s">
        <v>150</v>
      </c>
      <c r="B36" s="33"/>
      <c r="C36" s="243">
        <v>494</v>
      </c>
      <c r="D36" s="33" t="s">
        <v>240</v>
      </c>
      <c r="E36" s="33"/>
      <c r="F36" s="29"/>
    </row>
    <row r="37" spans="1:6" ht="15.75" thickBot="1" x14ac:dyDescent="0.3">
      <c r="A37" s="100"/>
      <c r="B37" s="28"/>
      <c r="C37" s="28"/>
      <c r="D37" s="28"/>
      <c r="E37" s="28"/>
      <c r="F37" s="30"/>
    </row>
    <row r="38" spans="1:6" x14ac:dyDescent="0.25">
      <c r="A38" s="244" t="s">
        <v>132</v>
      </c>
      <c r="B38" s="236" t="s">
        <v>133</v>
      </c>
      <c r="C38" s="237" t="s">
        <v>134</v>
      </c>
      <c r="D38" s="238" t="s">
        <v>135</v>
      </c>
      <c r="E38" s="238" t="s">
        <v>136</v>
      </c>
      <c r="F38" s="245" t="s">
        <v>137</v>
      </c>
    </row>
    <row r="39" spans="1:6" x14ac:dyDescent="0.25">
      <c r="A39" s="246"/>
      <c r="B39" s="239"/>
      <c r="C39" s="239"/>
      <c r="D39" s="240"/>
      <c r="E39" s="240"/>
      <c r="F39" s="247"/>
    </row>
    <row r="40" spans="1:6" x14ac:dyDescent="0.25">
      <c r="A40" s="246"/>
      <c r="B40" s="239"/>
      <c r="C40" s="239"/>
      <c r="D40" s="240"/>
      <c r="E40" s="240"/>
      <c r="F40" s="247"/>
    </row>
    <row r="41" spans="1:6" x14ac:dyDescent="0.25">
      <c r="A41" s="100"/>
      <c r="B41" s="28"/>
      <c r="C41" s="28"/>
      <c r="D41" s="28"/>
      <c r="E41" s="28"/>
      <c r="F41" s="30"/>
    </row>
    <row r="42" spans="1:6" x14ac:dyDescent="0.25">
      <c r="A42" s="100"/>
      <c r="B42" s="28"/>
      <c r="C42" s="28"/>
      <c r="D42" s="28"/>
      <c r="E42" s="28"/>
      <c r="F42" s="30"/>
    </row>
    <row r="43" spans="1:6" x14ac:dyDescent="0.25">
      <c r="A43" s="100"/>
      <c r="B43" s="28"/>
      <c r="C43" s="28"/>
      <c r="D43" s="28"/>
      <c r="E43" s="28"/>
      <c r="F43" s="30"/>
    </row>
    <row r="44" spans="1:6" x14ac:dyDescent="0.25">
      <c r="A44" s="100"/>
      <c r="B44" s="28"/>
      <c r="C44" s="28"/>
      <c r="D44" s="28"/>
      <c r="E44" s="28"/>
      <c r="F44" s="30"/>
    </row>
    <row r="45" spans="1:6" x14ac:dyDescent="0.25">
      <c r="A45" s="100"/>
      <c r="B45" s="28"/>
      <c r="C45" s="28"/>
      <c r="D45" s="28"/>
      <c r="E45" s="28"/>
      <c r="F45" s="30"/>
    </row>
    <row r="46" spans="1:6" x14ac:dyDescent="0.25">
      <c r="A46" s="100"/>
      <c r="B46" s="28"/>
      <c r="C46" s="28"/>
      <c r="D46" s="28"/>
      <c r="E46" s="28"/>
      <c r="F46" s="30"/>
    </row>
    <row r="47" spans="1:6" x14ac:dyDescent="0.25">
      <c r="A47" s="157"/>
      <c r="B47" s="32"/>
      <c r="C47" s="32"/>
      <c r="D47" s="32"/>
      <c r="E47" s="32"/>
      <c r="F47" s="34"/>
    </row>
    <row r="48" spans="1:6" x14ac:dyDescent="0.25">
      <c r="A48" s="260" t="s">
        <v>155</v>
      </c>
    </row>
  </sheetData>
  <pageMargins left="0.7" right="0.7" top="0.75" bottom="0.75" header="0.3" footer="0.3"/>
  <pageSetup paperSize="9" scale="76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2</vt:i4>
      </vt:variant>
    </vt:vector>
  </HeadingPairs>
  <TitlesOfParts>
    <vt:vector size="7" baseType="lpstr">
      <vt:lpstr>Prisblad materiale</vt:lpstr>
      <vt:lpstr>Projekter</vt:lpstr>
      <vt:lpstr>Aftale Input</vt:lpstr>
      <vt:lpstr>udskriv PDF</vt:lpstr>
      <vt:lpstr>Basis oplysn.</vt:lpstr>
      <vt:lpstr>'Aftale Input'!Udskriftsområde</vt:lpstr>
      <vt:lpstr>'udskriv PDF'!Udskriftsområde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Bruun</dc:creator>
  <cp:lastModifiedBy>Christina Winther</cp:lastModifiedBy>
  <cp:lastPrinted>2020-07-10T11:30:21Z</cp:lastPrinted>
  <dcterms:created xsi:type="dcterms:W3CDTF">2015-10-16T08:42:34Z</dcterms:created>
  <dcterms:modified xsi:type="dcterms:W3CDTF">2022-01-31T18:24:09Z</dcterms:modified>
</cp:coreProperties>
</file>